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G:\Meu Drive\Presidente Castello Branco\2024\GINÁSIO - INFERIOR\PROJETOS\REVISÃO 2024\P LICITAÇÃO\"/>
    </mc:Choice>
  </mc:AlternateContent>
  <xr:revisionPtr revIDLastSave="0" documentId="13_ncr:1_{845AA018-C917-46EC-B19B-3B92006523D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ORÇ - COMPLETO LOTE 01" sheetId="2" r:id="rId1"/>
    <sheet name="COMP - CIVIL" sheetId="3" r:id="rId2"/>
    <sheet name="COMP - ELÉTRICO" sheetId="5" r:id="rId3"/>
    <sheet name="CRONOGRAMA" sheetId="9" r:id="rId4"/>
    <sheet name="BDI" sheetId="10" r:id="rId5"/>
  </sheets>
  <externalReferences>
    <externalReference r:id="rId6"/>
  </externalReferences>
  <definedNames>
    <definedName name="_xlnm.Print_Area" localSheetId="4">BDI!$A$1:$I$36</definedName>
    <definedName name="_xlnm.Print_Area" localSheetId="1">'COMP - CIVIL'!$A$1:$F$187</definedName>
    <definedName name="_xlnm.Print_Area" localSheetId="2">'COMP - ELÉTRICO'!$A$1:$F$71</definedName>
    <definedName name="_xlnm.Print_Area" localSheetId="3">CRONOGRAMA!$A$1:$AF$42</definedName>
    <definedName name="_xlnm.Print_Area" localSheetId="0">'ORÇ - COMPLETO LOTE 01'!$A$1:$K$447</definedName>
    <definedName name="EMPRESAS" hidden="1">OFFSET([1]Cotações!#REF!,1,0):OFFSET([1]Cotações!$G$26,-1,0)</definedName>
    <definedName name="INDICES" hidden="1">OFFSET([1]Cotações!#REF!,1,0):OFFSET([1]Cotações!$H$21,-1,0)</definedName>
    <definedName name="NCOMPOSICOES" hidden="1">3</definedName>
    <definedName name="NCOTACOES" hidden="1">3</definedName>
    <definedName name="NEMPRESAS" hidden="1">3</definedName>
    <definedName name="ORÇAMENTO.BancoRef" hidden="1">[1]ORÇAMENTO!#REF!</definedName>
    <definedName name="REFERENCIA.Descricao" localSheetId="4" hidden="1">IF(ISNUMBER([1]ORÇAMENTO!$Z1),OFFSET(INDIRECT(ORÇAMENTO.BancoRef),[1]ORÇAMENTO!$Z1-1,3,1),[1]ORÇAMENTO!$Z1)</definedName>
    <definedName name="REFERENCIA.Descricao" hidden="1">IF(ISNUMBER([1]ORÇAMENTO!$Z1),OFFSET(INDIRECT(ORÇAMENTO.BancoRef),[1]ORÇAMENTO!$Z1-1,3,1),[1]ORÇAMENTO!$Z1)</definedName>
    <definedName name="_xlnm.Print_Titles" localSheetId="0">'ORÇ - COMPLETO LOTE 01'!$12:$16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2" roundtripDataChecksum="ziTk3tdEZxRxGFDgra20Maan+nGBxupvEJDlV66URO0="/>
    </ext>
  </extLst>
</workbook>
</file>

<file path=xl/calcChain.xml><?xml version="1.0" encoding="utf-8"?>
<calcChain xmlns="http://schemas.openxmlformats.org/spreadsheetml/2006/main">
  <c r="AG17" i="9" l="1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16" i="9"/>
  <c r="J99" i="2"/>
  <c r="H99" i="2"/>
  <c r="G99" i="2"/>
  <c r="J98" i="2"/>
  <c r="H98" i="2"/>
  <c r="G98" i="2"/>
  <c r="J343" i="2"/>
  <c r="K343" i="2" s="1"/>
  <c r="H343" i="2"/>
  <c r="O343" i="2" s="1"/>
  <c r="G343" i="2"/>
  <c r="N343" i="2" s="1"/>
  <c r="J342" i="2"/>
  <c r="K342" i="2" s="1"/>
  <c r="H342" i="2"/>
  <c r="O342" i="2" s="1"/>
  <c r="G342" i="2"/>
  <c r="N342" i="2" s="1"/>
  <c r="F300" i="2" l="1"/>
  <c r="F266" i="2"/>
  <c r="F237" i="2"/>
  <c r="J304" i="2"/>
  <c r="K304" i="2" s="1"/>
  <c r="H304" i="2"/>
  <c r="G304" i="2"/>
  <c r="F304" i="2"/>
  <c r="J282" i="2"/>
  <c r="K282" i="2" s="1"/>
  <c r="H282" i="2"/>
  <c r="O282" i="2" s="1"/>
  <c r="G282" i="2"/>
  <c r="N282" i="2" s="1"/>
  <c r="F270" i="2"/>
  <c r="J270" i="2"/>
  <c r="K270" i="2" s="1"/>
  <c r="H270" i="2"/>
  <c r="G270" i="2"/>
  <c r="F246" i="2"/>
  <c r="J246" i="2"/>
  <c r="H246" i="2"/>
  <c r="G246" i="2"/>
  <c r="J216" i="2"/>
  <c r="K216" i="2" s="1"/>
  <c r="H216" i="2"/>
  <c r="O216" i="2" s="1"/>
  <c r="G216" i="2"/>
  <c r="N216" i="2" s="1"/>
  <c r="N304" i="2" l="1"/>
  <c r="O304" i="2"/>
  <c r="N246" i="2"/>
  <c r="O270" i="2"/>
  <c r="N270" i="2"/>
  <c r="O246" i="2"/>
  <c r="K246" i="2"/>
  <c r="F23" i="2" l="1"/>
  <c r="F344" i="2"/>
  <c r="F347" i="2" s="1"/>
  <c r="J347" i="2"/>
  <c r="H347" i="2"/>
  <c r="G347" i="2"/>
  <c r="J346" i="2"/>
  <c r="H346" i="2"/>
  <c r="G346" i="2"/>
  <c r="J344" i="2"/>
  <c r="H344" i="2"/>
  <c r="G344" i="2"/>
  <c r="J345" i="2"/>
  <c r="H345" i="2"/>
  <c r="G345" i="2"/>
  <c r="F345" i="2" l="1"/>
  <c r="O345" i="2" s="1"/>
  <c r="F346" i="2"/>
  <c r="K346" i="2" s="1"/>
  <c r="O347" i="2"/>
  <c r="N347" i="2"/>
  <c r="K347" i="2"/>
  <c r="N344" i="2"/>
  <c r="K344" i="2"/>
  <c r="O344" i="2"/>
  <c r="N345" i="2" l="1"/>
  <c r="K345" i="2"/>
  <c r="N346" i="2"/>
  <c r="O346" i="2"/>
  <c r="F334" i="2" l="1"/>
  <c r="F333" i="2"/>
  <c r="F317" i="2"/>
  <c r="F316" i="2"/>
  <c r="J298" i="2" l="1"/>
  <c r="K298" i="2" s="1"/>
  <c r="H298" i="2"/>
  <c r="O298" i="2" s="1"/>
  <c r="G298" i="2"/>
  <c r="N298" i="2" s="1"/>
  <c r="J297" i="2"/>
  <c r="K297" i="2" s="1"/>
  <c r="H297" i="2"/>
  <c r="O297" i="2" s="1"/>
  <c r="G297" i="2"/>
  <c r="N297" i="2" s="1"/>
  <c r="J296" i="2"/>
  <c r="H296" i="2"/>
  <c r="G296" i="2"/>
  <c r="F296" i="2"/>
  <c r="J295" i="2"/>
  <c r="H295" i="2"/>
  <c r="G295" i="2"/>
  <c r="F295" i="2"/>
  <c r="J294" i="2"/>
  <c r="H294" i="2"/>
  <c r="G294" i="2"/>
  <c r="F294" i="2"/>
  <c r="J293" i="2"/>
  <c r="H293" i="2"/>
  <c r="G293" i="2"/>
  <c r="J292" i="2"/>
  <c r="H292" i="2"/>
  <c r="G292" i="2"/>
  <c r="F292" i="2"/>
  <c r="J291" i="2"/>
  <c r="H291" i="2"/>
  <c r="G291" i="2"/>
  <c r="F291" i="2"/>
  <c r="F293" i="2" s="1"/>
  <c r="J290" i="2"/>
  <c r="K290" i="2" s="1"/>
  <c r="H290" i="2"/>
  <c r="O290" i="2" s="1"/>
  <c r="G290" i="2"/>
  <c r="N290" i="2" s="1"/>
  <c r="J289" i="2"/>
  <c r="H289" i="2"/>
  <c r="G289" i="2"/>
  <c r="F289" i="2"/>
  <c r="I288" i="2"/>
  <c r="J288" i="2" s="1"/>
  <c r="F288" i="2"/>
  <c r="J287" i="2"/>
  <c r="H287" i="2"/>
  <c r="G287" i="2"/>
  <c r="F287" i="2"/>
  <c r="J286" i="2"/>
  <c r="H286" i="2"/>
  <c r="G286" i="2"/>
  <c r="K288" i="2" l="1"/>
  <c r="K294" i="2"/>
  <c r="K287" i="2"/>
  <c r="K293" i="2"/>
  <c r="K291" i="2"/>
  <c r="N291" i="2"/>
  <c r="O291" i="2"/>
  <c r="N294" i="2"/>
  <c r="O287" i="2"/>
  <c r="K296" i="2"/>
  <c r="O295" i="2"/>
  <c r="K292" i="2"/>
  <c r="N287" i="2"/>
  <c r="G288" i="2"/>
  <c r="N288" i="2" s="1"/>
  <c r="N293" i="2"/>
  <c r="O293" i="2"/>
  <c r="O296" i="2"/>
  <c r="O289" i="2"/>
  <c r="N296" i="2"/>
  <c r="K289" i="2"/>
  <c r="O294" i="2"/>
  <c r="O292" i="2"/>
  <c r="K295" i="2"/>
  <c r="N292" i="2"/>
  <c r="N289" i="2"/>
  <c r="N295" i="2"/>
  <c r="F286" i="2"/>
  <c r="O286" i="2" s="1"/>
  <c r="H288" i="2"/>
  <c r="O288" i="2" s="1"/>
  <c r="K286" i="2" l="1"/>
  <c r="N286" i="2"/>
  <c r="H28" i="10" l="1"/>
  <c r="P28" i="10" l="1"/>
  <c r="P20" i="10"/>
  <c r="P22" i="10" s="1"/>
  <c r="H20" i="10"/>
  <c r="H22" i="10" s="1"/>
  <c r="B32" i="9" l="1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J423" i="2" l="1"/>
  <c r="K423" i="2" s="1"/>
  <c r="H423" i="2"/>
  <c r="O423" i="2" s="1"/>
  <c r="G423" i="2"/>
  <c r="N423" i="2" s="1"/>
  <c r="J422" i="2"/>
  <c r="K422" i="2" s="1"/>
  <c r="H422" i="2"/>
  <c r="O422" i="2" s="1"/>
  <c r="G422" i="2"/>
  <c r="N422" i="2" s="1"/>
  <c r="J421" i="2"/>
  <c r="K421" i="2" s="1"/>
  <c r="H421" i="2"/>
  <c r="O421" i="2" s="1"/>
  <c r="G421" i="2"/>
  <c r="N421" i="2" s="1"/>
  <c r="J420" i="2"/>
  <c r="K420" i="2" s="1"/>
  <c r="H420" i="2"/>
  <c r="O420" i="2" s="1"/>
  <c r="G420" i="2"/>
  <c r="N420" i="2" s="1"/>
  <c r="J419" i="2"/>
  <c r="K419" i="2" s="1"/>
  <c r="H419" i="2"/>
  <c r="O419" i="2" s="1"/>
  <c r="G419" i="2"/>
  <c r="N419" i="2" s="1"/>
  <c r="J418" i="2"/>
  <c r="K418" i="2" s="1"/>
  <c r="H418" i="2"/>
  <c r="O418" i="2" s="1"/>
  <c r="G418" i="2"/>
  <c r="N418" i="2" s="1"/>
  <c r="J417" i="2"/>
  <c r="K417" i="2" s="1"/>
  <c r="H417" i="2"/>
  <c r="O417" i="2" s="1"/>
  <c r="G417" i="2"/>
  <c r="N417" i="2" s="1"/>
  <c r="J416" i="2"/>
  <c r="K416" i="2" s="1"/>
  <c r="H416" i="2"/>
  <c r="O416" i="2" s="1"/>
  <c r="G416" i="2"/>
  <c r="N416" i="2" s="1"/>
  <c r="J415" i="2"/>
  <c r="K415" i="2" s="1"/>
  <c r="H415" i="2"/>
  <c r="O415" i="2" s="1"/>
  <c r="G415" i="2"/>
  <c r="N415" i="2" s="1"/>
  <c r="J414" i="2"/>
  <c r="K414" i="2" s="1"/>
  <c r="H414" i="2"/>
  <c r="O414" i="2" s="1"/>
  <c r="G414" i="2"/>
  <c r="N414" i="2" s="1"/>
  <c r="J413" i="2"/>
  <c r="K413" i="2" s="1"/>
  <c r="H413" i="2"/>
  <c r="O413" i="2" s="1"/>
  <c r="G413" i="2"/>
  <c r="N413" i="2" s="1"/>
  <c r="J412" i="2"/>
  <c r="K412" i="2" s="1"/>
  <c r="H412" i="2"/>
  <c r="O412" i="2" s="1"/>
  <c r="G412" i="2"/>
  <c r="N412" i="2" s="1"/>
  <c r="J411" i="2"/>
  <c r="K411" i="2" s="1"/>
  <c r="H411" i="2"/>
  <c r="O411" i="2" s="1"/>
  <c r="G411" i="2"/>
  <c r="N411" i="2" s="1"/>
  <c r="J410" i="2"/>
  <c r="K410" i="2" s="1"/>
  <c r="H410" i="2"/>
  <c r="O410" i="2" s="1"/>
  <c r="G410" i="2"/>
  <c r="N410" i="2" s="1"/>
  <c r="J409" i="2"/>
  <c r="K409" i="2" s="1"/>
  <c r="H409" i="2"/>
  <c r="O409" i="2" s="1"/>
  <c r="G409" i="2"/>
  <c r="N409" i="2" s="1"/>
  <c r="J408" i="2"/>
  <c r="K408" i="2" s="1"/>
  <c r="H408" i="2"/>
  <c r="O408" i="2" s="1"/>
  <c r="G408" i="2"/>
  <c r="N408" i="2" s="1"/>
  <c r="J407" i="2"/>
  <c r="K407" i="2" s="1"/>
  <c r="H407" i="2"/>
  <c r="O407" i="2" s="1"/>
  <c r="G407" i="2"/>
  <c r="N407" i="2" s="1"/>
  <c r="J406" i="2"/>
  <c r="K406" i="2" s="1"/>
  <c r="H406" i="2"/>
  <c r="O406" i="2" s="1"/>
  <c r="G406" i="2"/>
  <c r="N406" i="2" s="1"/>
  <c r="J405" i="2"/>
  <c r="K405" i="2" s="1"/>
  <c r="H405" i="2"/>
  <c r="O405" i="2" s="1"/>
  <c r="G405" i="2"/>
  <c r="N405" i="2" s="1"/>
  <c r="J404" i="2"/>
  <c r="K404" i="2" s="1"/>
  <c r="H404" i="2"/>
  <c r="O404" i="2" s="1"/>
  <c r="G404" i="2"/>
  <c r="N404" i="2" s="1"/>
  <c r="J403" i="2"/>
  <c r="K403" i="2" s="1"/>
  <c r="H403" i="2"/>
  <c r="O403" i="2" s="1"/>
  <c r="G403" i="2"/>
  <c r="N403" i="2" s="1"/>
  <c r="J402" i="2"/>
  <c r="K402" i="2" s="1"/>
  <c r="H402" i="2"/>
  <c r="O402" i="2" s="1"/>
  <c r="G402" i="2"/>
  <c r="N402" i="2" s="1"/>
  <c r="K401" i="2" l="1"/>
  <c r="G32" i="9" s="1"/>
  <c r="AC32" i="9" s="1"/>
  <c r="J400" i="2"/>
  <c r="K400" i="2" s="1"/>
  <c r="H400" i="2"/>
  <c r="O400" i="2" s="1"/>
  <c r="G400" i="2"/>
  <c r="N400" i="2" s="1"/>
  <c r="J399" i="2"/>
  <c r="K399" i="2" s="1"/>
  <c r="H399" i="2"/>
  <c r="O399" i="2" s="1"/>
  <c r="G399" i="2"/>
  <c r="N399" i="2" s="1"/>
  <c r="J398" i="2"/>
  <c r="K398" i="2" s="1"/>
  <c r="H398" i="2"/>
  <c r="O398" i="2" s="1"/>
  <c r="G398" i="2"/>
  <c r="N398" i="2" s="1"/>
  <c r="J397" i="2"/>
  <c r="K397" i="2" s="1"/>
  <c r="H397" i="2"/>
  <c r="O397" i="2" s="1"/>
  <c r="G397" i="2"/>
  <c r="N397" i="2" s="1"/>
  <c r="J396" i="2"/>
  <c r="K396" i="2" s="1"/>
  <c r="H396" i="2"/>
  <c r="O396" i="2" s="1"/>
  <c r="G396" i="2"/>
  <c r="N396" i="2" s="1"/>
  <c r="J395" i="2"/>
  <c r="K395" i="2" s="1"/>
  <c r="H395" i="2"/>
  <c r="O395" i="2" s="1"/>
  <c r="G395" i="2"/>
  <c r="N395" i="2" s="1"/>
  <c r="J394" i="2"/>
  <c r="K394" i="2" s="1"/>
  <c r="H394" i="2"/>
  <c r="O394" i="2" s="1"/>
  <c r="G394" i="2"/>
  <c r="N394" i="2" s="1"/>
  <c r="J393" i="2"/>
  <c r="K393" i="2" s="1"/>
  <c r="H393" i="2"/>
  <c r="O393" i="2" s="1"/>
  <c r="G393" i="2"/>
  <c r="N393" i="2" s="1"/>
  <c r="J392" i="2"/>
  <c r="K392" i="2" s="1"/>
  <c r="H392" i="2"/>
  <c r="O392" i="2" s="1"/>
  <c r="G392" i="2"/>
  <c r="N392" i="2" s="1"/>
  <c r="J391" i="2"/>
  <c r="K391" i="2" s="1"/>
  <c r="H391" i="2"/>
  <c r="O391" i="2" s="1"/>
  <c r="G391" i="2"/>
  <c r="N391" i="2" s="1"/>
  <c r="J390" i="2"/>
  <c r="K390" i="2" s="1"/>
  <c r="H390" i="2"/>
  <c r="O390" i="2" s="1"/>
  <c r="G390" i="2"/>
  <c r="N390" i="2" s="1"/>
  <c r="J389" i="2"/>
  <c r="K389" i="2" s="1"/>
  <c r="H389" i="2"/>
  <c r="O389" i="2" s="1"/>
  <c r="G389" i="2"/>
  <c r="N389" i="2" s="1"/>
  <c r="J388" i="2"/>
  <c r="K388" i="2" s="1"/>
  <c r="H388" i="2"/>
  <c r="O388" i="2" s="1"/>
  <c r="G388" i="2"/>
  <c r="N388" i="2" s="1"/>
  <c r="J387" i="2"/>
  <c r="K387" i="2" s="1"/>
  <c r="H387" i="2"/>
  <c r="O387" i="2" s="1"/>
  <c r="G387" i="2"/>
  <c r="N387" i="2" s="1"/>
  <c r="J386" i="2"/>
  <c r="K386" i="2" s="1"/>
  <c r="H386" i="2"/>
  <c r="O386" i="2" s="1"/>
  <c r="G386" i="2"/>
  <c r="N386" i="2" s="1"/>
  <c r="J385" i="2"/>
  <c r="K385" i="2" s="1"/>
  <c r="H385" i="2"/>
  <c r="O385" i="2" s="1"/>
  <c r="G385" i="2"/>
  <c r="N385" i="2" s="1"/>
  <c r="J384" i="2"/>
  <c r="K384" i="2" s="1"/>
  <c r="H384" i="2"/>
  <c r="O384" i="2" s="1"/>
  <c r="G384" i="2"/>
  <c r="N384" i="2" s="1"/>
  <c r="J383" i="2"/>
  <c r="K383" i="2" s="1"/>
  <c r="H383" i="2"/>
  <c r="O383" i="2" s="1"/>
  <c r="G383" i="2"/>
  <c r="N383" i="2" s="1"/>
  <c r="J382" i="2"/>
  <c r="K382" i="2" s="1"/>
  <c r="H382" i="2"/>
  <c r="O382" i="2" s="1"/>
  <c r="G382" i="2"/>
  <c r="N382" i="2" s="1"/>
  <c r="J381" i="2"/>
  <c r="K381" i="2" s="1"/>
  <c r="H381" i="2"/>
  <c r="O381" i="2" s="1"/>
  <c r="G381" i="2"/>
  <c r="N381" i="2" s="1"/>
  <c r="J380" i="2"/>
  <c r="K380" i="2" s="1"/>
  <c r="H380" i="2"/>
  <c r="O380" i="2" s="1"/>
  <c r="G380" i="2"/>
  <c r="N380" i="2" s="1"/>
  <c r="J379" i="2"/>
  <c r="K379" i="2" s="1"/>
  <c r="H379" i="2"/>
  <c r="O379" i="2" s="1"/>
  <c r="G379" i="2"/>
  <c r="N379" i="2" s="1"/>
  <c r="J378" i="2"/>
  <c r="K378" i="2" s="1"/>
  <c r="H378" i="2"/>
  <c r="O378" i="2" s="1"/>
  <c r="G378" i="2"/>
  <c r="N378" i="2" s="1"/>
  <c r="J377" i="2"/>
  <c r="K377" i="2" s="1"/>
  <c r="H377" i="2"/>
  <c r="O377" i="2" s="1"/>
  <c r="G377" i="2"/>
  <c r="N377" i="2" s="1"/>
  <c r="J376" i="2"/>
  <c r="K376" i="2" s="1"/>
  <c r="H376" i="2"/>
  <c r="O376" i="2" s="1"/>
  <c r="G376" i="2"/>
  <c r="N376" i="2" s="1"/>
  <c r="J375" i="2"/>
  <c r="K375" i="2" s="1"/>
  <c r="H375" i="2"/>
  <c r="O375" i="2" s="1"/>
  <c r="G375" i="2"/>
  <c r="N375" i="2" s="1"/>
  <c r="J374" i="2"/>
  <c r="K374" i="2" s="1"/>
  <c r="H374" i="2"/>
  <c r="O374" i="2" s="1"/>
  <c r="G374" i="2"/>
  <c r="N374" i="2" s="1"/>
  <c r="J373" i="2"/>
  <c r="K373" i="2" s="1"/>
  <c r="H373" i="2"/>
  <c r="O373" i="2" s="1"/>
  <c r="G373" i="2"/>
  <c r="N373" i="2" s="1"/>
  <c r="J372" i="2"/>
  <c r="K372" i="2" s="1"/>
  <c r="H372" i="2"/>
  <c r="O372" i="2" s="1"/>
  <c r="G372" i="2"/>
  <c r="N372" i="2" s="1"/>
  <c r="J371" i="2"/>
  <c r="K371" i="2" s="1"/>
  <c r="H371" i="2"/>
  <c r="O371" i="2" s="1"/>
  <c r="G371" i="2"/>
  <c r="N371" i="2" s="1"/>
  <c r="J370" i="2"/>
  <c r="K370" i="2" s="1"/>
  <c r="H370" i="2"/>
  <c r="O370" i="2" s="1"/>
  <c r="G370" i="2"/>
  <c r="N370" i="2" s="1"/>
  <c r="J369" i="2"/>
  <c r="K369" i="2" s="1"/>
  <c r="H369" i="2"/>
  <c r="O369" i="2" s="1"/>
  <c r="G369" i="2"/>
  <c r="N369" i="2" s="1"/>
  <c r="J368" i="2"/>
  <c r="K368" i="2" s="1"/>
  <c r="H368" i="2"/>
  <c r="O368" i="2" s="1"/>
  <c r="G368" i="2"/>
  <c r="N368" i="2" s="1"/>
  <c r="J367" i="2"/>
  <c r="K367" i="2" s="1"/>
  <c r="H367" i="2"/>
  <c r="O367" i="2" s="1"/>
  <c r="G367" i="2"/>
  <c r="N367" i="2" s="1"/>
  <c r="J366" i="2"/>
  <c r="K366" i="2" s="1"/>
  <c r="H366" i="2"/>
  <c r="O366" i="2" s="1"/>
  <c r="G366" i="2"/>
  <c r="N366" i="2" s="1"/>
  <c r="J365" i="2"/>
  <c r="K365" i="2" s="1"/>
  <c r="H365" i="2"/>
  <c r="O365" i="2" s="1"/>
  <c r="G365" i="2"/>
  <c r="N365" i="2" s="1"/>
  <c r="J364" i="2"/>
  <c r="K364" i="2" s="1"/>
  <c r="H364" i="2"/>
  <c r="O364" i="2" s="1"/>
  <c r="G364" i="2"/>
  <c r="N364" i="2" s="1"/>
  <c r="J363" i="2"/>
  <c r="K363" i="2" s="1"/>
  <c r="H363" i="2"/>
  <c r="O363" i="2" s="1"/>
  <c r="G363" i="2"/>
  <c r="N363" i="2" s="1"/>
  <c r="J362" i="2"/>
  <c r="K362" i="2" s="1"/>
  <c r="H362" i="2"/>
  <c r="O362" i="2" s="1"/>
  <c r="G362" i="2"/>
  <c r="N362" i="2" s="1"/>
  <c r="J361" i="2"/>
  <c r="K361" i="2" s="1"/>
  <c r="H361" i="2"/>
  <c r="O361" i="2" s="1"/>
  <c r="G361" i="2"/>
  <c r="N361" i="2" s="1"/>
  <c r="J360" i="2"/>
  <c r="K360" i="2" s="1"/>
  <c r="H360" i="2"/>
  <c r="O360" i="2" s="1"/>
  <c r="G360" i="2"/>
  <c r="N360" i="2" s="1"/>
  <c r="J359" i="2"/>
  <c r="K359" i="2" s="1"/>
  <c r="H359" i="2"/>
  <c r="O359" i="2" s="1"/>
  <c r="G359" i="2"/>
  <c r="N359" i="2" s="1"/>
  <c r="J358" i="2"/>
  <c r="K358" i="2" s="1"/>
  <c r="H358" i="2"/>
  <c r="O358" i="2" s="1"/>
  <c r="G358" i="2"/>
  <c r="N358" i="2" s="1"/>
  <c r="J356" i="2"/>
  <c r="J355" i="2"/>
  <c r="K355" i="2" s="1"/>
  <c r="J350" i="2"/>
  <c r="K350" i="2" s="1"/>
  <c r="J351" i="2"/>
  <c r="K351" i="2" s="1"/>
  <c r="J352" i="2"/>
  <c r="K352" i="2" s="1"/>
  <c r="J353" i="2"/>
  <c r="J349" i="2"/>
  <c r="K349" i="2" s="1"/>
  <c r="J315" i="2"/>
  <c r="J318" i="2"/>
  <c r="J319" i="2"/>
  <c r="J320" i="2"/>
  <c r="J321" i="2"/>
  <c r="K321" i="2" s="1"/>
  <c r="J322" i="2"/>
  <c r="J323" i="2"/>
  <c r="J324" i="2"/>
  <c r="K324" i="2" s="1"/>
  <c r="J325" i="2"/>
  <c r="J326" i="2"/>
  <c r="J328" i="2"/>
  <c r="K328" i="2" s="1"/>
  <c r="J332" i="2"/>
  <c r="K332" i="2" s="1"/>
  <c r="J333" i="2"/>
  <c r="J334" i="2"/>
  <c r="J335" i="2"/>
  <c r="J336" i="2"/>
  <c r="K336" i="2" s="1"/>
  <c r="J337" i="2"/>
  <c r="K337" i="2" s="1"/>
  <c r="J338" i="2"/>
  <c r="K338" i="2" s="1"/>
  <c r="J339" i="2"/>
  <c r="K339" i="2" s="1"/>
  <c r="J340" i="2"/>
  <c r="K340" i="2" s="1"/>
  <c r="J341" i="2"/>
  <c r="K341" i="2" s="1"/>
  <c r="J314" i="2"/>
  <c r="J301" i="2"/>
  <c r="K301" i="2" s="1"/>
  <c r="J302" i="2"/>
  <c r="K302" i="2" s="1"/>
  <c r="J303" i="2"/>
  <c r="K303" i="2" s="1"/>
  <c r="J307" i="2"/>
  <c r="J309" i="2"/>
  <c r="K309" i="2" s="1"/>
  <c r="J310" i="2"/>
  <c r="K310" i="2" s="1"/>
  <c r="J311" i="2"/>
  <c r="J312" i="2"/>
  <c r="K312" i="2" s="1"/>
  <c r="J300" i="2"/>
  <c r="J267" i="2"/>
  <c r="K267" i="2" s="1"/>
  <c r="J268" i="2"/>
  <c r="K268" i="2" s="1"/>
  <c r="J269" i="2"/>
  <c r="K269" i="2" s="1"/>
  <c r="J271" i="2"/>
  <c r="J274" i="2"/>
  <c r="K274" i="2" s="1"/>
  <c r="J275" i="2"/>
  <c r="K275" i="2" s="1"/>
  <c r="J276" i="2"/>
  <c r="K276" i="2" s="1"/>
  <c r="J277" i="2"/>
  <c r="K277" i="2" s="1"/>
  <c r="J278" i="2"/>
  <c r="K278" i="2" s="1"/>
  <c r="J279" i="2"/>
  <c r="K279" i="2" s="1"/>
  <c r="J280" i="2"/>
  <c r="K280" i="2" s="1"/>
  <c r="J281" i="2"/>
  <c r="K281" i="2" s="1"/>
  <c r="J283" i="2"/>
  <c r="K283" i="2" s="1"/>
  <c r="J266" i="2"/>
  <c r="J238" i="2"/>
  <c r="K238" i="2" s="1"/>
  <c r="J239" i="2"/>
  <c r="K239" i="2" s="1"/>
  <c r="J240" i="2"/>
  <c r="K240" i="2" s="1"/>
  <c r="J241" i="2"/>
  <c r="K241" i="2" s="1"/>
  <c r="J242" i="2"/>
  <c r="K242" i="2" s="1"/>
  <c r="J243" i="2"/>
  <c r="K243" i="2" s="1"/>
  <c r="J245" i="2"/>
  <c r="K245" i="2" s="1"/>
  <c r="J247" i="2"/>
  <c r="K247" i="2" s="1"/>
  <c r="J248" i="2"/>
  <c r="K248" i="2" s="1"/>
  <c r="J249" i="2"/>
  <c r="K249" i="2" s="1"/>
  <c r="J250" i="2"/>
  <c r="J251" i="2"/>
  <c r="J252" i="2"/>
  <c r="J253" i="2"/>
  <c r="K253" i="2" s="1"/>
  <c r="J254" i="2"/>
  <c r="K254" i="2" s="1"/>
  <c r="J255" i="2"/>
  <c r="J258" i="2"/>
  <c r="K258" i="2" s="1"/>
  <c r="J259" i="2"/>
  <c r="K259" i="2" s="1"/>
  <c r="J260" i="2"/>
  <c r="K260" i="2" s="1"/>
  <c r="J261" i="2"/>
  <c r="K261" i="2" s="1"/>
  <c r="J262" i="2"/>
  <c r="J263" i="2"/>
  <c r="K263" i="2" s="1"/>
  <c r="J264" i="2"/>
  <c r="K264" i="2" s="1"/>
  <c r="J237" i="2"/>
  <c r="J223" i="2"/>
  <c r="K223" i="2" s="1"/>
  <c r="J224" i="2"/>
  <c r="K224" i="2" s="1"/>
  <c r="J225" i="2"/>
  <c r="K225" i="2" s="1"/>
  <c r="J226" i="2"/>
  <c r="K226" i="2" s="1"/>
  <c r="J227" i="2"/>
  <c r="K227" i="2" s="1"/>
  <c r="J228" i="2"/>
  <c r="K228" i="2" s="1"/>
  <c r="J229" i="2"/>
  <c r="K229" i="2" s="1"/>
  <c r="J230" i="2"/>
  <c r="K230" i="2" s="1"/>
  <c r="J231" i="2"/>
  <c r="J232" i="2"/>
  <c r="K232" i="2" s="1"/>
  <c r="J233" i="2"/>
  <c r="K233" i="2" s="1"/>
  <c r="J235" i="2"/>
  <c r="J222" i="2"/>
  <c r="J201" i="2"/>
  <c r="K201" i="2" s="1"/>
  <c r="J202" i="2"/>
  <c r="K202" i="2" s="1"/>
  <c r="J203" i="2"/>
  <c r="K203" i="2" s="1"/>
  <c r="J205" i="2"/>
  <c r="K205" i="2" s="1"/>
  <c r="J206" i="2"/>
  <c r="K206" i="2" s="1"/>
  <c r="J207" i="2"/>
  <c r="K207" i="2" s="1"/>
  <c r="J208" i="2"/>
  <c r="K208" i="2" s="1"/>
  <c r="J209" i="2"/>
  <c r="K209" i="2" s="1"/>
  <c r="J210" i="2"/>
  <c r="K210" i="2" s="1"/>
  <c r="J211" i="2"/>
  <c r="K211" i="2" s="1"/>
  <c r="J212" i="2"/>
  <c r="K212" i="2" s="1"/>
  <c r="J213" i="2"/>
  <c r="K213" i="2" s="1"/>
  <c r="J214" i="2"/>
  <c r="J215" i="2"/>
  <c r="J217" i="2"/>
  <c r="K217" i="2" s="1"/>
  <c r="J218" i="2"/>
  <c r="K218" i="2" s="1"/>
  <c r="J219" i="2"/>
  <c r="K219" i="2" s="1"/>
  <c r="J220" i="2"/>
  <c r="K220" i="2" s="1"/>
  <c r="J199" i="2"/>
  <c r="J170" i="2"/>
  <c r="K170" i="2" s="1"/>
  <c r="J171" i="2"/>
  <c r="K171" i="2" s="1"/>
  <c r="J172" i="2"/>
  <c r="J173" i="2"/>
  <c r="K173" i="2" s="1"/>
  <c r="J174" i="2"/>
  <c r="J175" i="2"/>
  <c r="J176" i="2"/>
  <c r="J177" i="2"/>
  <c r="J178" i="2"/>
  <c r="J180" i="2"/>
  <c r="K180" i="2" s="1"/>
  <c r="J181" i="2"/>
  <c r="J182" i="2"/>
  <c r="J183" i="2"/>
  <c r="K183" i="2" s="1"/>
  <c r="J184" i="2"/>
  <c r="J185" i="2"/>
  <c r="J186" i="2"/>
  <c r="K186" i="2" s="1"/>
  <c r="J187" i="2"/>
  <c r="K187" i="2" s="1"/>
  <c r="J188" i="2"/>
  <c r="K188" i="2" s="1"/>
  <c r="J189" i="2"/>
  <c r="K189" i="2" s="1"/>
  <c r="J190" i="2"/>
  <c r="K190" i="2" s="1"/>
  <c r="J191" i="2"/>
  <c r="K191" i="2" s="1"/>
  <c r="J192" i="2"/>
  <c r="K192" i="2" s="1"/>
  <c r="J193" i="2"/>
  <c r="K193" i="2" s="1"/>
  <c r="J194" i="2"/>
  <c r="K194" i="2" s="1"/>
  <c r="J195" i="2"/>
  <c r="K195" i="2" s="1"/>
  <c r="J196" i="2"/>
  <c r="K196" i="2" s="1"/>
  <c r="J197" i="2"/>
  <c r="K197" i="2" s="1"/>
  <c r="J168" i="2"/>
  <c r="J143" i="2"/>
  <c r="K143" i="2" s="1"/>
  <c r="J146" i="2"/>
  <c r="K146" i="2" s="1"/>
  <c r="J147" i="2"/>
  <c r="K147" i="2" s="1"/>
  <c r="J148" i="2"/>
  <c r="K148" i="2" s="1"/>
  <c r="J149" i="2"/>
  <c r="K149" i="2" s="1"/>
  <c r="J151" i="2"/>
  <c r="K151" i="2" s="1"/>
  <c r="J152" i="2"/>
  <c r="K152" i="2" s="1"/>
  <c r="J153" i="2"/>
  <c r="K153" i="2" s="1"/>
  <c r="J154" i="2"/>
  <c r="K154" i="2" s="1"/>
  <c r="J155" i="2"/>
  <c r="K155" i="2" s="1"/>
  <c r="J156" i="2"/>
  <c r="K156" i="2" s="1"/>
  <c r="J157" i="2"/>
  <c r="K157" i="2" s="1"/>
  <c r="J158" i="2"/>
  <c r="K158" i="2" s="1"/>
  <c r="J159" i="2"/>
  <c r="K159" i="2" s="1"/>
  <c r="J160" i="2"/>
  <c r="K160" i="2" s="1"/>
  <c r="J161" i="2"/>
  <c r="K161" i="2" s="1"/>
  <c r="J162" i="2"/>
  <c r="K162" i="2" s="1"/>
  <c r="J163" i="2"/>
  <c r="K163" i="2" s="1"/>
  <c r="J164" i="2"/>
  <c r="K164" i="2" s="1"/>
  <c r="J165" i="2"/>
  <c r="K165" i="2" s="1"/>
  <c r="J166" i="2"/>
  <c r="K166" i="2" s="1"/>
  <c r="J142" i="2"/>
  <c r="J114" i="2"/>
  <c r="K114" i="2" s="1"/>
  <c r="J117" i="2"/>
  <c r="K117" i="2" s="1"/>
  <c r="J118" i="2"/>
  <c r="K118" i="2" s="1"/>
  <c r="J119" i="2"/>
  <c r="K119" i="2" s="1"/>
  <c r="J120" i="2"/>
  <c r="K120" i="2" s="1"/>
  <c r="J123" i="2"/>
  <c r="K123" i="2" s="1"/>
  <c r="J124" i="2"/>
  <c r="K124" i="2" s="1"/>
  <c r="J125" i="2"/>
  <c r="K125" i="2" s="1"/>
  <c r="J126" i="2"/>
  <c r="K126" i="2" s="1"/>
  <c r="J127" i="2"/>
  <c r="K127" i="2" s="1"/>
  <c r="J128" i="2"/>
  <c r="K128" i="2" s="1"/>
  <c r="J129" i="2"/>
  <c r="K129" i="2" s="1"/>
  <c r="J130" i="2"/>
  <c r="K130" i="2" s="1"/>
  <c r="J131" i="2"/>
  <c r="K131" i="2" s="1"/>
  <c r="J132" i="2"/>
  <c r="K132" i="2" s="1"/>
  <c r="J133" i="2"/>
  <c r="K133" i="2" s="1"/>
  <c r="J134" i="2"/>
  <c r="K134" i="2" s="1"/>
  <c r="J135" i="2"/>
  <c r="K135" i="2" s="1"/>
  <c r="J136" i="2"/>
  <c r="K136" i="2" s="1"/>
  <c r="J137" i="2"/>
  <c r="K137" i="2" s="1"/>
  <c r="J138" i="2"/>
  <c r="K138" i="2" s="1"/>
  <c r="J139" i="2"/>
  <c r="K139" i="2" s="1"/>
  <c r="J140" i="2"/>
  <c r="K140" i="2" s="1"/>
  <c r="J113" i="2"/>
  <c r="J102" i="2"/>
  <c r="J103" i="2"/>
  <c r="K103" i="2" s="1"/>
  <c r="J104" i="2"/>
  <c r="K104" i="2" s="1"/>
  <c r="J107" i="2"/>
  <c r="K107" i="2" s="1"/>
  <c r="J108" i="2"/>
  <c r="J109" i="2"/>
  <c r="J111" i="2"/>
  <c r="K111" i="2" s="1"/>
  <c r="J101" i="2"/>
  <c r="K101" i="2" s="1"/>
  <c r="J72" i="2"/>
  <c r="K72" i="2" s="1"/>
  <c r="J73" i="2"/>
  <c r="K73" i="2" s="1"/>
  <c r="J74" i="2"/>
  <c r="K74" i="2" s="1"/>
  <c r="J75" i="2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4" i="2"/>
  <c r="K84" i="2" s="1"/>
  <c r="J85" i="2"/>
  <c r="J87" i="2"/>
  <c r="J88" i="2"/>
  <c r="J89" i="2"/>
  <c r="J91" i="2"/>
  <c r="J92" i="2"/>
  <c r="J93" i="2"/>
  <c r="K93" i="2" s="1"/>
  <c r="J94" i="2"/>
  <c r="J95" i="2"/>
  <c r="K95" i="2" s="1"/>
  <c r="J96" i="2"/>
  <c r="K96" i="2" s="1"/>
  <c r="J97" i="2"/>
  <c r="J71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K60" i="2" s="1"/>
  <c r="J61" i="2"/>
  <c r="J62" i="2"/>
  <c r="K62" i="2" s="1"/>
  <c r="J63" i="2"/>
  <c r="K63" i="2" s="1"/>
  <c r="J64" i="2"/>
  <c r="K64" i="2" s="1"/>
  <c r="J65" i="2"/>
  <c r="K65" i="2" s="1"/>
  <c r="J66" i="2"/>
  <c r="K66" i="2" s="1"/>
  <c r="J67" i="2"/>
  <c r="J68" i="2"/>
  <c r="J69" i="2"/>
  <c r="J47" i="2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J42" i="2"/>
  <c r="J43" i="2"/>
  <c r="J44" i="2"/>
  <c r="J45" i="2"/>
  <c r="J19" i="2"/>
  <c r="K19" i="2" s="1"/>
  <c r="F174" i="3"/>
  <c r="F173" i="3"/>
  <c r="F172" i="3"/>
  <c r="F171" i="3"/>
  <c r="F170" i="3"/>
  <c r="Q32" i="9" l="1"/>
  <c r="S32" i="9"/>
  <c r="U32" i="9"/>
  <c r="W32" i="9"/>
  <c r="Y32" i="9"/>
  <c r="AA32" i="9"/>
  <c r="AE32" i="9"/>
  <c r="K32" i="9"/>
  <c r="O32" i="9"/>
  <c r="I32" i="9"/>
  <c r="M32" i="9"/>
  <c r="K357" i="2"/>
  <c r="G31" i="9" s="1"/>
  <c r="AC31" i="9" s="1"/>
  <c r="F175" i="3"/>
  <c r="U31" i="9" l="1"/>
  <c r="W31" i="9"/>
  <c r="Y31" i="9"/>
  <c r="AA31" i="9"/>
  <c r="AE31" i="9"/>
  <c r="Q31" i="9"/>
  <c r="S31" i="9"/>
  <c r="O31" i="9"/>
  <c r="M31" i="9"/>
  <c r="I31" i="9"/>
  <c r="K31" i="9"/>
  <c r="K334" i="2"/>
  <c r="K333" i="2"/>
  <c r="H356" i="2" l="1"/>
  <c r="G356" i="2"/>
  <c r="H314" i="2"/>
  <c r="G314" i="2"/>
  <c r="H300" i="2"/>
  <c r="G300" i="2"/>
  <c r="H266" i="2"/>
  <c r="G266" i="2"/>
  <c r="H237" i="2"/>
  <c r="G237" i="2"/>
  <c r="H222" i="2"/>
  <c r="G222" i="2"/>
  <c r="H199" i="2"/>
  <c r="G199" i="2"/>
  <c r="H168" i="2"/>
  <c r="G168" i="2"/>
  <c r="H142" i="2"/>
  <c r="G142" i="2"/>
  <c r="H113" i="2"/>
  <c r="G113" i="2"/>
  <c r="H355" i="2"/>
  <c r="G355" i="2"/>
  <c r="G350" i="2"/>
  <c r="H350" i="2"/>
  <c r="G351" i="2"/>
  <c r="H351" i="2"/>
  <c r="G352" i="2"/>
  <c r="H352" i="2"/>
  <c r="G353" i="2"/>
  <c r="H353" i="2"/>
  <c r="H349" i="2"/>
  <c r="G349" i="2"/>
  <c r="G315" i="2"/>
  <c r="H315" i="2"/>
  <c r="G318" i="2"/>
  <c r="H318" i="2"/>
  <c r="G319" i="2"/>
  <c r="H319" i="2"/>
  <c r="G320" i="2"/>
  <c r="H320" i="2"/>
  <c r="G321" i="2"/>
  <c r="H321" i="2"/>
  <c r="G322" i="2"/>
  <c r="H322" i="2"/>
  <c r="G323" i="2"/>
  <c r="H323" i="2"/>
  <c r="G324" i="2"/>
  <c r="H324" i="2"/>
  <c r="G325" i="2"/>
  <c r="H325" i="2"/>
  <c r="G326" i="2"/>
  <c r="H326" i="2"/>
  <c r="G328" i="2"/>
  <c r="H328" i="2"/>
  <c r="G332" i="2"/>
  <c r="H332" i="2"/>
  <c r="G333" i="2"/>
  <c r="H333" i="2"/>
  <c r="G334" i="2"/>
  <c r="H334" i="2"/>
  <c r="G335" i="2"/>
  <c r="H335" i="2"/>
  <c r="G336" i="2"/>
  <c r="H336" i="2"/>
  <c r="G337" i="2"/>
  <c r="H337" i="2"/>
  <c r="G338" i="2"/>
  <c r="H338" i="2"/>
  <c r="G339" i="2"/>
  <c r="H339" i="2"/>
  <c r="G340" i="2"/>
  <c r="H340" i="2"/>
  <c r="G341" i="2"/>
  <c r="H341" i="2"/>
  <c r="G301" i="2"/>
  <c r="H301" i="2"/>
  <c r="G302" i="2"/>
  <c r="H302" i="2"/>
  <c r="G303" i="2"/>
  <c r="H303" i="2"/>
  <c r="G307" i="2"/>
  <c r="H307" i="2"/>
  <c r="G309" i="2"/>
  <c r="H309" i="2"/>
  <c r="G310" i="2"/>
  <c r="H310" i="2"/>
  <c r="G311" i="2"/>
  <c r="H311" i="2"/>
  <c r="G312" i="2"/>
  <c r="H312" i="2"/>
  <c r="G267" i="2"/>
  <c r="H267" i="2"/>
  <c r="G268" i="2"/>
  <c r="H268" i="2"/>
  <c r="G269" i="2"/>
  <c r="H269" i="2"/>
  <c r="G271" i="2"/>
  <c r="H271" i="2"/>
  <c r="G274" i="2"/>
  <c r="H274" i="2"/>
  <c r="G275" i="2"/>
  <c r="H275" i="2"/>
  <c r="G276" i="2"/>
  <c r="H276" i="2"/>
  <c r="G277" i="2"/>
  <c r="H277" i="2"/>
  <c r="G279" i="2"/>
  <c r="H279" i="2"/>
  <c r="G280" i="2"/>
  <c r="H280" i="2"/>
  <c r="G281" i="2"/>
  <c r="H281" i="2"/>
  <c r="G283" i="2"/>
  <c r="H283" i="2"/>
  <c r="H253" i="2"/>
  <c r="G253" i="2"/>
  <c r="H255" i="2"/>
  <c r="G255" i="2"/>
  <c r="H254" i="2"/>
  <c r="G254" i="2"/>
  <c r="H248" i="2"/>
  <c r="G248" i="2"/>
  <c r="H247" i="2"/>
  <c r="G247" i="2"/>
  <c r="H245" i="2"/>
  <c r="G245" i="2"/>
  <c r="G238" i="2"/>
  <c r="H238" i="2"/>
  <c r="G239" i="2"/>
  <c r="H239" i="2"/>
  <c r="G240" i="2"/>
  <c r="H240" i="2"/>
  <c r="G242" i="2"/>
  <c r="H242" i="2"/>
  <c r="G243" i="2"/>
  <c r="H243" i="2"/>
  <c r="G249" i="2"/>
  <c r="H249" i="2"/>
  <c r="G250" i="2"/>
  <c r="H250" i="2"/>
  <c r="G251" i="2"/>
  <c r="H251" i="2"/>
  <c r="G252" i="2"/>
  <c r="H252" i="2"/>
  <c r="G258" i="2"/>
  <c r="H258" i="2"/>
  <c r="G259" i="2"/>
  <c r="H259" i="2"/>
  <c r="G260" i="2"/>
  <c r="H260" i="2"/>
  <c r="G261" i="2"/>
  <c r="H261" i="2"/>
  <c r="G262" i="2"/>
  <c r="H262" i="2"/>
  <c r="G263" i="2"/>
  <c r="H263" i="2"/>
  <c r="G264" i="2"/>
  <c r="H264" i="2"/>
  <c r="H232" i="2"/>
  <c r="G232" i="2"/>
  <c r="G223" i="2"/>
  <c r="H223" i="2"/>
  <c r="G224" i="2"/>
  <c r="H224" i="2"/>
  <c r="G225" i="2"/>
  <c r="H225" i="2"/>
  <c r="G227" i="2"/>
  <c r="H227" i="2"/>
  <c r="G228" i="2"/>
  <c r="H228" i="2"/>
  <c r="G229" i="2"/>
  <c r="H229" i="2"/>
  <c r="G230" i="2"/>
  <c r="H230" i="2"/>
  <c r="G231" i="2"/>
  <c r="H231" i="2"/>
  <c r="G233" i="2"/>
  <c r="H233" i="2"/>
  <c r="G235" i="2"/>
  <c r="H235" i="2"/>
  <c r="H220" i="2"/>
  <c r="G220" i="2"/>
  <c r="H219" i="2"/>
  <c r="G219" i="2"/>
  <c r="H218" i="2"/>
  <c r="G218" i="2"/>
  <c r="H217" i="2"/>
  <c r="G217" i="2"/>
  <c r="H215" i="2"/>
  <c r="G215" i="2"/>
  <c r="H214" i="2"/>
  <c r="G214" i="2"/>
  <c r="G201" i="2"/>
  <c r="H201" i="2"/>
  <c r="G202" i="2"/>
  <c r="H202" i="2"/>
  <c r="G203" i="2"/>
  <c r="H203" i="2"/>
  <c r="G205" i="2"/>
  <c r="H205" i="2"/>
  <c r="G206" i="2"/>
  <c r="H206" i="2"/>
  <c r="G208" i="2"/>
  <c r="H208" i="2"/>
  <c r="G209" i="2"/>
  <c r="H209" i="2"/>
  <c r="G210" i="2"/>
  <c r="H210" i="2"/>
  <c r="G211" i="2"/>
  <c r="H211" i="2"/>
  <c r="G212" i="2"/>
  <c r="H212" i="2"/>
  <c r="G213" i="2"/>
  <c r="H213" i="2"/>
  <c r="H197" i="2"/>
  <c r="G197" i="2"/>
  <c r="H196" i="2"/>
  <c r="G196" i="2"/>
  <c r="H195" i="2"/>
  <c r="G195" i="2"/>
  <c r="H194" i="2"/>
  <c r="G194" i="2"/>
  <c r="H190" i="2"/>
  <c r="G190" i="2"/>
  <c r="H189" i="2"/>
  <c r="G189" i="2"/>
  <c r="G170" i="2"/>
  <c r="H170" i="2"/>
  <c r="G171" i="2"/>
  <c r="H171" i="2"/>
  <c r="G172" i="2"/>
  <c r="H172" i="2"/>
  <c r="G173" i="2"/>
  <c r="H173" i="2"/>
  <c r="G174" i="2"/>
  <c r="H174" i="2"/>
  <c r="G175" i="2"/>
  <c r="H175" i="2"/>
  <c r="G176" i="2"/>
  <c r="H176" i="2"/>
  <c r="G177" i="2"/>
  <c r="H177" i="2"/>
  <c r="G178" i="2"/>
  <c r="H178" i="2"/>
  <c r="G180" i="2"/>
  <c r="H180" i="2"/>
  <c r="G181" i="2"/>
  <c r="H181" i="2"/>
  <c r="G183" i="2"/>
  <c r="H183" i="2"/>
  <c r="G184" i="2"/>
  <c r="H184" i="2"/>
  <c r="G185" i="2"/>
  <c r="H185" i="2"/>
  <c r="G186" i="2"/>
  <c r="H186" i="2"/>
  <c r="G187" i="2"/>
  <c r="H187" i="2"/>
  <c r="G188" i="2"/>
  <c r="H188" i="2"/>
  <c r="G191" i="2"/>
  <c r="H191" i="2"/>
  <c r="G192" i="2"/>
  <c r="H192" i="2"/>
  <c r="G193" i="2"/>
  <c r="H193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7" i="2"/>
  <c r="G157" i="2"/>
  <c r="H155" i="2"/>
  <c r="G155" i="2"/>
  <c r="G143" i="2"/>
  <c r="H143" i="2"/>
  <c r="G146" i="2"/>
  <c r="H146" i="2"/>
  <c r="G147" i="2"/>
  <c r="H147" i="2"/>
  <c r="G148" i="2"/>
  <c r="H148" i="2"/>
  <c r="G149" i="2"/>
  <c r="H149" i="2"/>
  <c r="G151" i="2"/>
  <c r="H151" i="2"/>
  <c r="G152" i="2"/>
  <c r="H152" i="2"/>
  <c r="G154" i="2"/>
  <c r="H154" i="2"/>
  <c r="G156" i="2"/>
  <c r="H156" i="2"/>
  <c r="G158" i="2"/>
  <c r="H158" i="2"/>
  <c r="G159" i="2"/>
  <c r="H159" i="2"/>
  <c r="H140" i="2"/>
  <c r="G140" i="2"/>
  <c r="H139" i="2"/>
  <c r="G139" i="2"/>
  <c r="H138" i="2"/>
  <c r="G138" i="2"/>
  <c r="H137" i="2"/>
  <c r="G137" i="2"/>
  <c r="H135" i="2"/>
  <c r="G135" i="2"/>
  <c r="H136" i="2"/>
  <c r="G136" i="2"/>
  <c r="H133" i="2"/>
  <c r="G133" i="2"/>
  <c r="H132" i="2"/>
  <c r="G132" i="2"/>
  <c r="H131" i="2"/>
  <c r="G131" i="2"/>
  <c r="H128" i="2"/>
  <c r="G128" i="2"/>
  <c r="H127" i="2"/>
  <c r="G127" i="2"/>
  <c r="G114" i="2"/>
  <c r="H114" i="2"/>
  <c r="G117" i="2"/>
  <c r="H117" i="2"/>
  <c r="G118" i="2"/>
  <c r="H118" i="2"/>
  <c r="G119" i="2"/>
  <c r="H119" i="2"/>
  <c r="G120" i="2"/>
  <c r="H120" i="2"/>
  <c r="G123" i="2"/>
  <c r="H123" i="2"/>
  <c r="G124" i="2"/>
  <c r="H124" i="2"/>
  <c r="G126" i="2"/>
  <c r="H126" i="2"/>
  <c r="G129" i="2"/>
  <c r="H129" i="2"/>
  <c r="G130" i="2"/>
  <c r="H130" i="2"/>
  <c r="G134" i="2"/>
  <c r="H134" i="2"/>
  <c r="G102" i="2"/>
  <c r="H102" i="2"/>
  <c r="G103" i="2"/>
  <c r="H103" i="2"/>
  <c r="G104" i="2"/>
  <c r="H104" i="2"/>
  <c r="G107" i="2"/>
  <c r="H107" i="2"/>
  <c r="G108" i="2"/>
  <c r="H108" i="2"/>
  <c r="G109" i="2"/>
  <c r="H109" i="2"/>
  <c r="G111" i="2"/>
  <c r="H111" i="2"/>
  <c r="H101" i="2"/>
  <c r="G101" i="2"/>
  <c r="G93" i="2"/>
  <c r="H93" i="2"/>
  <c r="G94" i="2"/>
  <c r="H94" i="2"/>
  <c r="H92" i="2"/>
  <c r="G92" i="2"/>
  <c r="H89" i="2"/>
  <c r="G89" i="2"/>
  <c r="H78" i="2"/>
  <c r="G78" i="2"/>
  <c r="H77" i="2"/>
  <c r="G77" i="2"/>
  <c r="G72" i="2"/>
  <c r="H72" i="2"/>
  <c r="G73" i="2"/>
  <c r="H73" i="2"/>
  <c r="G74" i="2"/>
  <c r="H74" i="2"/>
  <c r="G75" i="2"/>
  <c r="H75" i="2"/>
  <c r="G76" i="2"/>
  <c r="H76" i="2"/>
  <c r="G79" i="2"/>
  <c r="H79" i="2"/>
  <c r="G80" i="2"/>
  <c r="H80" i="2"/>
  <c r="G81" i="2"/>
  <c r="H81" i="2"/>
  <c r="G82" i="2"/>
  <c r="H82" i="2"/>
  <c r="G84" i="2"/>
  <c r="H84" i="2"/>
  <c r="G85" i="2"/>
  <c r="H85" i="2"/>
  <c r="G87" i="2"/>
  <c r="H87" i="2"/>
  <c r="G88" i="2"/>
  <c r="H88" i="2"/>
  <c r="G91" i="2"/>
  <c r="H91" i="2"/>
  <c r="G95" i="2"/>
  <c r="H95" i="2"/>
  <c r="G96" i="2"/>
  <c r="H96" i="2"/>
  <c r="G97" i="2"/>
  <c r="H97" i="2"/>
  <c r="H71" i="2"/>
  <c r="G71" i="2"/>
  <c r="H66" i="2"/>
  <c r="G66" i="2"/>
  <c r="H65" i="2"/>
  <c r="G65" i="2"/>
  <c r="H54" i="2"/>
  <c r="G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7" i="2"/>
  <c r="H67" i="2"/>
  <c r="G68" i="2"/>
  <c r="H68" i="2"/>
  <c r="G69" i="2"/>
  <c r="H69" i="2"/>
  <c r="G53" i="2"/>
  <c r="H53" i="2"/>
  <c r="H52" i="2"/>
  <c r="G52" i="2"/>
  <c r="H51" i="2"/>
  <c r="G51" i="2"/>
  <c r="H50" i="2"/>
  <c r="G50" i="2"/>
  <c r="H49" i="2"/>
  <c r="G49" i="2"/>
  <c r="G48" i="2"/>
  <c r="H48" i="2"/>
  <c r="H47" i="2"/>
  <c r="G47" i="2"/>
  <c r="H45" i="2"/>
  <c r="G45" i="2"/>
  <c r="H40" i="2"/>
  <c r="G40" i="2"/>
  <c r="H44" i="2"/>
  <c r="G44" i="2"/>
  <c r="H43" i="2"/>
  <c r="G43" i="2"/>
  <c r="H42" i="2"/>
  <c r="G42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H19" i="2"/>
  <c r="G19" i="2"/>
  <c r="F271" i="2" l="1"/>
  <c r="K271" i="2" s="1"/>
  <c r="O247" i="2"/>
  <c r="N247" i="2"/>
  <c r="O303" i="2"/>
  <c r="N303" i="2"/>
  <c r="O281" i="2"/>
  <c r="N281" i="2"/>
  <c r="O202" i="2"/>
  <c r="N202" i="2"/>
  <c r="O166" i="2"/>
  <c r="N166" i="2"/>
  <c r="O134" i="2"/>
  <c r="N134" i="2"/>
  <c r="F86" i="2"/>
  <c r="I86" i="2"/>
  <c r="J86" i="2" s="1"/>
  <c r="K86" i="2" s="1"/>
  <c r="I284" i="2"/>
  <c r="J284" i="2" s="1"/>
  <c r="K284" i="2" s="1"/>
  <c r="O209" i="2"/>
  <c r="N209" i="2"/>
  <c r="O208" i="2"/>
  <c r="N208" i="2"/>
  <c r="H86" i="2" l="1"/>
  <c r="O86" i="2" s="1"/>
  <c r="G86" i="2"/>
  <c r="N86" i="2" s="1"/>
  <c r="G284" i="2"/>
  <c r="N284" i="2" s="1"/>
  <c r="H284" i="2"/>
  <c r="O284" i="2" s="1"/>
  <c r="N271" i="2"/>
  <c r="O271" i="2"/>
  <c r="F56" i="2" l="1"/>
  <c r="K56" i="2" s="1"/>
  <c r="F108" i="2"/>
  <c r="K108" i="2" s="1"/>
  <c r="F109" i="2"/>
  <c r="K109" i="2" s="1"/>
  <c r="O63" i="2"/>
  <c r="N63" i="2"/>
  <c r="N56" i="2" l="1"/>
  <c r="O56" i="2"/>
  <c r="F50" i="2"/>
  <c r="K50" i="2" s="1"/>
  <c r="F356" i="2"/>
  <c r="K356" i="2" s="1"/>
  <c r="K266" i="2"/>
  <c r="N356" i="2" l="1"/>
  <c r="O356" i="2"/>
  <c r="I317" i="2" l="1"/>
  <c r="J317" i="2" s="1"/>
  <c r="I306" i="2"/>
  <c r="J306" i="2" s="1"/>
  <c r="I273" i="2"/>
  <c r="J273" i="2" s="1"/>
  <c r="I257" i="2"/>
  <c r="J257" i="2" s="1"/>
  <c r="I308" i="2"/>
  <c r="J308" i="2" s="1"/>
  <c r="G273" i="2" l="1"/>
  <c r="H273" i="2"/>
  <c r="G317" i="2"/>
  <c r="H317" i="2"/>
  <c r="G308" i="2"/>
  <c r="H308" i="2"/>
  <c r="G257" i="2"/>
  <c r="H257" i="2"/>
  <c r="G306" i="2"/>
  <c r="H306" i="2"/>
  <c r="F250" i="2"/>
  <c r="K250" i="2" s="1"/>
  <c r="O193" i="2" l="1"/>
  <c r="N193" i="2"/>
  <c r="F182" i="2"/>
  <c r="K182" i="2" s="1"/>
  <c r="F181" i="2"/>
  <c r="K181" i="2" s="1"/>
  <c r="O156" i="2"/>
  <c r="N156" i="2"/>
  <c r="I83" i="2"/>
  <c r="J83" i="2" s="1"/>
  <c r="K83" i="2" s="1"/>
  <c r="O82" i="2"/>
  <c r="N82" i="2"/>
  <c r="F58" i="2"/>
  <c r="K58" i="2" s="1"/>
  <c r="F57" i="2"/>
  <c r="K57" i="2" s="1"/>
  <c r="G83" i="2" l="1"/>
  <c r="H83" i="2"/>
  <c r="F41" i="2"/>
  <c r="F42" i="2" l="1"/>
  <c r="K42" i="2" s="1"/>
  <c r="K41" i="2"/>
  <c r="F71" i="2"/>
  <c r="K71" i="2" s="1"/>
  <c r="F165" i="3" l="1"/>
  <c r="F164" i="3"/>
  <c r="F163" i="3"/>
  <c r="F162" i="3"/>
  <c r="F161" i="3"/>
  <c r="F160" i="3"/>
  <c r="F155" i="3"/>
  <c r="F154" i="3"/>
  <c r="F153" i="3"/>
  <c r="F152" i="3"/>
  <c r="F151" i="3"/>
  <c r="F150" i="3"/>
  <c r="F145" i="3"/>
  <c r="F144" i="3"/>
  <c r="F143" i="3"/>
  <c r="F142" i="3"/>
  <c r="F141" i="3"/>
  <c r="F140" i="3"/>
  <c r="F135" i="3"/>
  <c r="F134" i="3"/>
  <c r="F133" i="3"/>
  <c r="F89" i="2"/>
  <c r="K89" i="2" s="1"/>
  <c r="N96" i="2"/>
  <c r="O95" i="2"/>
  <c r="N93" i="2"/>
  <c r="F97" i="2"/>
  <c r="F94" i="2"/>
  <c r="K94" i="2" s="1"/>
  <c r="F92" i="2"/>
  <c r="K92" i="2" s="1"/>
  <c r="F91" i="2"/>
  <c r="K91" i="2" s="1"/>
  <c r="F90" i="2"/>
  <c r="I90" i="2"/>
  <c r="J90" i="2" s="1"/>
  <c r="K90" i="2" s="1"/>
  <c r="F88" i="2"/>
  <c r="K88" i="2" s="1"/>
  <c r="F87" i="2"/>
  <c r="K87" i="2" s="1"/>
  <c r="K97" i="2" l="1"/>
  <c r="H90" i="2"/>
  <c r="O90" i="2" s="1"/>
  <c r="G90" i="2"/>
  <c r="N90" i="2" s="1"/>
  <c r="O92" i="2"/>
  <c r="O87" i="2"/>
  <c r="N88" i="2"/>
  <c r="F166" i="3"/>
  <c r="F146" i="3"/>
  <c r="F156" i="3"/>
  <c r="F136" i="3"/>
  <c r="O96" i="2"/>
  <c r="O93" i="2"/>
  <c r="N92" i="2"/>
  <c r="O94" i="2"/>
  <c r="O91" i="2"/>
  <c r="N95" i="2"/>
  <c r="N87" i="2"/>
  <c r="N91" i="2"/>
  <c r="N97" i="2"/>
  <c r="O97" i="2"/>
  <c r="N94" i="2"/>
  <c r="O88" i="2"/>
  <c r="N89" i="2"/>
  <c r="O89" i="2"/>
  <c r="N98" i="2" l="1"/>
  <c r="O98" i="2"/>
  <c r="K98" i="2"/>
  <c r="F325" i="2"/>
  <c r="F124" i="3"/>
  <c r="F123" i="3"/>
  <c r="F122" i="3"/>
  <c r="F121" i="3"/>
  <c r="F125" i="3"/>
  <c r="F128" i="3"/>
  <c r="F127" i="3"/>
  <c r="F126" i="3"/>
  <c r="F120" i="3"/>
  <c r="F111" i="3"/>
  <c r="F112" i="3"/>
  <c r="F113" i="3"/>
  <c r="F114" i="3"/>
  <c r="F115" i="3"/>
  <c r="F323" i="2"/>
  <c r="K323" i="2" s="1"/>
  <c r="F322" i="2"/>
  <c r="F50" i="5"/>
  <c r="F43" i="5"/>
  <c r="F36" i="5"/>
  <c r="F29" i="5"/>
  <c r="F28" i="5"/>
  <c r="F22" i="5"/>
  <c r="F11" i="5"/>
  <c r="F12" i="5"/>
  <c r="F13" i="5"/>
  <c r="F14" i="5"/>
  <c r="F15" i="5"/>
  <c r="O99" i="2" l="1"/>
  <c r="K99" i="2"/>
  <c r="K70" i="2" s="1"/>
  <c r="N99" i="2"/>
  <c r="K322" i="2"/>
  <c r="F314" i="2"/>
  <c r="F326" i="2"/>
  <c r="K326" i="2" s="1"/>
  <c r="K325" i="2"/>
  <c r="O323" i="2"/>
  <c r="F129" i="3"/>
  <c r="F116" i="3"/>
  <c r="N323" i="2"/>
  <c r="O219" i="2"/>
  <c r="N219" i="2"/>
  <c r="F335" i="2" l="1"/>
  <c r="K335" i="2" s="1"/>
  <c r="O338" i="2"/>
  <c r="N338" i="2"/>
  <c r="O337" i="2"/>
  <c r="N337" i="2"/>
  <c r="O336" i="2"/>
  <c r="N336" i="2"/>
  <c r="O339" i="2"/>
  <c r="N339" i="2"/>
  <c r="O341" i="2"/>
  <c r="N341" i="2"/>
  <c r="O340" i="2"/>
  <c r="N340" i="2"/>
  <c r="F262" i="2"/>
  <c r="K262" i="2" s="1"/>
  <c r="O261" i="2"/>
  <c r="N261" i="2"/>
  <c r="O260" i="2"/>
  <c r="N260" i="2"/>
  <c r="N335" i="2" l="1"/>
  <c r="O335" i="2"/>
  <c r="N263" i="2"/>
  <c r="O263" i="2"/>
  <c r="O262" i="2"/>
  <c r="N264" i="2"/>
  <c r="O264" i="2"/>
  <c r="N262" i="2"/>
  <c r="F85" i="2" l="1"/>
  <c r="K85" i="2" s="1"/>
  <c r="O283" i="2"/>
  <c r="N283" i="2"/>
  <c r="N85" i="2" l="1"/>
  <c r="O85" i="2"/>
  <c r="F320" i="2"/>
  <c r="K320" i="2" s="1"/>
  <c r="F319" i="2"/>
  <c r="K319" i="2" s="1"/>
  <c r="F318" i="2"/>
  <c r="K318" i="2" s="1"/>
  <c r="I316" i="2"/>
  <c r="J316" i="2" s="1"/>
  <c r="F256" i="2"/>
  <c r="F215" i="2"/>
  <c r="K215" i="2" s="1"/>
  <c r="F214" i="2"/>
  <c r="K214" i="2" s="1"/>
  <c r="G316" i="2" l="1"/>
  <c r="H316" i="2"/>
  <c r="N215" i="2"/>
  <c r="O215" i="2"/>
  <c r="I256" i="2" l="1"/>
  <c r="J256" i="2" s="1"/>
  <c r="K256" i="2" s="1"/>
  <c r="F257" i="2"/>
  <c r="K257" i="2" s="1"/>
  <c r="K317" i="2"/>
  <c r="K316" i="2"/>
  <c r="K314" i="2"/>
  <c r="F305" i="2"/>
  <c r="F306" i="2"/>
  <c r="K306" i="2" s="1"/>
  <c r="F307" i="2"/>
  <c r="K307" i="2" s="1"/>
  <c r="F308" i="2"/>
  <c r="K308" i="2" s="1"/>
  <c r="I305" i="2"/>
  <c r="J305" i="2" s="1"/>
  <c r="K305" i="2" s="1"/>
  <c r="G305" i="2" l="1"/>
  <c r="N305" i="2" s="1"/>
  <c r="H305" i="2"/>
  <c r="G256" i="2"/>
  <c r="H256" i="2"/>
  <c r="O305" i="2"/>
  <c r="O307" i="2"/>
  <c r="N307" i="2"/>
  <c r="N308" i="2"/>
  <c r="O308" i="2"/>
  <c r="I204" i="2"/>
  <c r="J204" i="2" s="1"/>
  <c r="K204" i="2" s="1"/>
  <c r="I200" i="2"/>
  <c r="J200" i="2" s="1"/>
  <c r="K200" i="2" s="1"/>
  <c r="I179" i="2"/>
  <c r="J179" i="2" s="1"/>
  <c r="K179" i="2" s="1"/>
  <c r="I169" i="2"/>
  <c r="J169" i="2" s="1"/>
  <c r="K169" i="2" s="1"/>
  <c r="I150" i="2"/>
  <c r="J150" i="2" s="1"/>
  <c r="K150" i="2" s="1"/>
  <c r="I145" i="2"/>
  <c r="J145" i="2" s="1"/>
  <c r="K145" i="2" s="1"/>
  <c r="I144" i="2"/>
  <c r="J144" i="2" s="1"/>
  <c r="K144" i="2" s="1"/>
  <c r="I121" i="2"/>
  <c r="J121" i="2" s="1"/>
  <c r="K121" i="2" s="1"/>
  <c r="I122" i="2"/>
  <c r="J122" i="2" s="1"/>
  <c r="K122" i="2" s="1"/>
  <c r="I116" i="2"/>
  <c r="J116" i="2" s="1"/>
  <c r="K116" i="2" s="1"/>
  <c r="I115" i="2"/>
  <c r="J115" i="2" s="1"/>
  <c r="K115" i="2" s="1"/>
  <c r="I110" i="2"/>
  <c r="J110" i="2" s="1"/>
  <c r="K110" i="2" s="1"/>
  <c r="F102" i="2"/>
  <c r="K102" i="2" s="1"/>
  <c r="F68" i="2"/>
  <c r="K68" i="2" s="1"/>
  <c r="F69" i="2"/>
  <c r="K69" i="2" s="1"/>
  <c r="F67" i="2"/>
  <c r="K67" i="2" s="1"/>
  <c r="G200" i="2" l="1"/>
  <c r="H200" i="2"/>
  <c r="G169" i="2"/>
  <c r="H169" i="2"/>
  <c r="G110" i="2"/>
  <c r="H110" i="2"/>
  <c r="H145" i="2"/>
  <c r="G145" i="2"/>
  <c r="H179" i="2"/>
  <c r="G179" i="2"/>
  <c r="G204" i="2"/>
  <c r="H204" i="2"/>
  <c r="H115" i="2"/>
  <c r="G115" i="2"/>
  <c r="G116" i="2"/>
  <c r="H116" i="2"/>
  <c r="H122" i="2"/>
  <c r="G122" i="2"/>
  <c r="G121" i="2"/>
  <c r="H121" i="2"/>
  <c r="G144" i="2"/>
  <c r="H144" i="2"/>
  <c r="H150" i="2"/>
  <c r="G150" i="2"/>
  <c r="O110" i="2"/>
  <c r="N110" i="2"/>
  <c r="N102" i="2"/>
  <c r="O102" i="2"/>
  <c r="N68" i="2"/>
  <c r="O68" i="2"/>
  <c r="F55" i="2"/>
  <c r="K55" i="2" s="1"/>
  <c r="F61" i="2"/>
  <c r="K61" i="2" s="1"/>
  <c r="N61" i="2" l="1"/>
  <c r="O61" i="2"/>
  <c r="F59" i="2" l="1"/>
  <c r="K59" i="2" s="1"/>
  <c r="F54" i="2"/>
  <c r="K54" i="2" s="1"/>
  <c r="F52" i="2"/>
  <c r="K52" i="2" s="1"/>
  <c r="F51" i="2"/>
  <c r="K51" i="2" s="1"/>
  <c r="F49" i="2"/>
  <c r="K49" i="2" s="1"/>
  <c r="F47" i="2"/>
  <c r="K47" i="2" s="1"/>
  <c r="O57" i="2" l="1"/>
  <c r="N58" i="2"/>
  <c r="O58" i="2"/>
  <c r="N57" i="2"/>
  <c r="O55" i="2"/>
  <c r="N55" i="2"/>
  <c r="F53" i="2"/>
  <c r="K53" i="2" s="1"/>
  <c r="O54" i="2"/>
  <c r="N54" i="2"/>
  <c r="N51" i="2"/>
  <c r="O51" i="2"/>
  <c r="O53" i="2" l="1"/>
  <c r="N53" i="2"/>
  <c r="O52" i="2"/>
  <c r="N52" i="2"/>
  <c r="F48" i="2" l="1"/>
  <c r="K48" i="2" s="1"/>
  <c r="D65" i="3" l="1"/>
  <c r="K300" i="2" l="1"/>
  <c r="F251" i="2"/>
  <c r="K251" i="2" s="1"/>
  <c r="F234" i="2"/>
  <c r="F235" i="2"/>
  <c r="K235" i="2" s="1"/>
  <c r="F75" i="2"/>
  <c r="K75" i="2" s="1"/>
  <c r="N334" i="2" l="1"/>
  <c r="O334" i="2"/>
  <c r="O333" i="2"/>
  <c r="N333" i="2" l="1"/>
  <c r="F43" i="2" l="1"/>
  <c r="K43" i="2" s="1"/>
  <c r="O324" i="2"/>
  <c r="N324" i="2"/>
  <c r="F106" i="3"/>
  <c r="F105" i="3"/>
  <c r="F107" i="3" s="1"/>
  <c r="F353" i="2"/>
  <c r="K353" i="2" s="1"/>
  <c r="F98" i="3"/>
  <c r="F311" i="2"/>
  <c r="K311" i="2" s="1"/>
  <c r="F273" i="2"/>
  <c r="K273" i="2" s="1"/>
  <c r="F272" i="2"/>
  <c r="F97" i="3"/>
  <c r="F100" i="3"/>
  <c r="F99" i="3"/>
  <c r="F96" i="3"/>
  <c r="F91" i="3"/>
  <c r="F90" i="3"/>
  <c r="F89" i="3"/>
  <c r="F88" i="3"/>
  <c r="O249" i="2"/>
  <c r="N249" i="2"/>
  <c r="F12" i="3"/>
  <c r="F13" i="3"/>
  <c r="F14" i="3"/>
  <c r="F11" i="3"/>
  <c r="E83" i="3"/>
  <c r="E82" i="3"/>
  <c r="E81" i="3"/>
  <c r="E80" i="3"/>
  <c r="E75" i="3"/>
  <c r="E74" i="3"/>
  <c r="E73" i="3"/>
  <c r="E72" i="3"/>
  <c r="E71" i="3"/>
  <c r="O253" i="2"/>
  <c r="N253" i="2"/>
  <c r="O192" i="2"/>
  <c r="N192" i="2"/>
  <c r="O191" i="2"/>
  <c r="N191" i="2"/>
  <c r="I331" i="2"/>
  <c r="J331" i="2" s="1"/>
  <c r="K331" i="2" s="1"/>
  <c r="I330" i="2"/>
  <c r="J330" i="2" s="1"/>
  <c r="K330" i="2" s="1"/>
  <c r="I272" i="2"/>
  <c r="J272" i="2" s="1"/>
  <c r="K272" i="2" s="1"/>
  <c r="K265" i="2" s="1"/>
  <c r="I244" i="2"/>
  <c r="J244" i="2" s="1"/>
  <c r="K244" i="2" s="1"/>
  <c r="I234" i="2"/>
  <c r="J234" i="2" s="1"/>
  <c r="K234" i="2" s="1"/>
  <c r="I106" i="2"/>
  <c r="J106" i="2" s="1"/>
  <c r="K106" i="2" s="1"/>
  <c r="I105" i="2"/>
  <c r="J105" i="2" s="1"/>
  <c r="K105" i="2" s="1"/>
  <c r="G226" i="2" l="1"/>
  <c r="H226" i="2"/>
  <c r="G234" i="2"/>
  <c r="H234" i="2"/>
  <c r="G153" i="2"/>
  <c r="H153" i="2"/>
  <c r="G241" i="2"/>
  <c r="H241" i="2"/>
  <c r="H244" i="2"/>
  <c r="G244" i="2"/>
  <c r="G330" i="2"/>
  <c r="H330" i="2"/>
  <c r="G106" i="2"/>
  <c r="H106" i="2"/>
  <c r="G207" i="2"/>
  <c r="H207" i="2"/>
  <c r="G272" i="2"/>
  <c r="H272" i="2"/>
  <c r="G331" i="2"/>
  <c r="H331" i="2"/>
  <c r="F45" i="2"/>
  <c r="K45" i="2" s="1"/>
  <c r="F44" i="2"/>
  <c r="G105" i="2"/>
  <c r="H105" i="2"/>
  <c r="G125" i="2"/>
  <c r="H125" i="2"/>
  <c r="G182" i="2"/>
  <c r="H182" i="2"/>
  <c r="H278" i="2"/>
  <c r="G278" i="2"/>
  <c r="O325" i="2"/>
  <c r="N326" i="2"/>
  <c r="O326" i="2"/>
  <c r="N325" i="2"/>
  <c r="O353" i="2"/>
  <c r="N353" i="2"/>
  <c r="O312" i="2"/>
  <c r="N312" i="2"/>
  <c r="N311" i="2"/>
  <c r="O311" i="2"/>
  <c r="F101" i="3"/>
  <c r="F92" i="3"/>
  <c r="O194" i="2"/>
  <c r="O72" i="2"/>
  <c r="O259" i="2"/>
  <c r="N259" i="2"/>
  <c r="N256" i="2"/>
  <c r="O256" i="2"/>
  <c r="O44" i="2" l="1"/>
  <c r="K44" i="2"/>
  <c r="N45" i="2"/>
  <c r="O45" i="2"/>
  <c r="N44" i="2"/>
  <c r="N194" i="2"/>
  <c r="O73" i="2"/>
  <c r="N72" i="2"/>
  <c r="N73" i="2" l="1"/>
  <c r="N74" i="2"/>
  <c r="O74" i="2"/>
  <c r="F185" i="2"/>
  <c r="K185" i="2" s="1"/>
  <c r="F184" i="2"/>
  <c r="K184" i="2" s="1"/>
  <c r="F83" i="3"/>
  <c r="F82" i="3"/>
  <c r="F81" i="3"/>
  <c r="N186" i="2"/>
  <c r="F178" i="2"/>
  <c r="K178" i="2" s="1"/>
  <c r="F177" i="2"/>
  <c r="K177" i="2" s="1"/>
  <c r="F176" i="2"/>
  <c r="K176" i="2" s="1"/>
  <c r="F175" i="2"/>
  <c r="K175" i="2" s="1"/>
  <c r="F174" i="2"/>
  <c r="K174" i="2" s="1"/>
  <c r="F172" i="2"/>
  <c r="K172" i="2" s="1"/>
  <c r="O173" i="2"/>
  <c r="N173" i="2"/>
  <c r="N302" i="2"/>
  <c r="O302" i="2"/>
  <c r="F72" i="3"/>
  <c r="N211" i="2" l="1"/>
  <c r="N184" i="2"/>
  <c r="O185" i="2"/>
  <c r="O184" i="2"/>
  <c r="N185" i="2"/>
  <c r="F80" i="3"/>
  <c r="F84" i="3" s="1"/>
  <c r="O178" i="2"/>
  <c r="O186" i="2"/>
  <c r="O211" i="2"/>
  <c r="O176" i="2"/>
  <c r="N178" i="2"/>
  <c r="N176" i="2"/>
  <c r="O172" i="2"/>
  <c r="N172" i="2"/>
  <c r="N175" i="2"/>
  <c r="O175" i="2"/>
  <c r="N301" i="2"/>
  <c r="O301" i="2"/>
  <c r="O239" i="2"/>
  <c r="K237" i="2"/>
  <c r="D71" i="3"/>
  <c r="D75" i="3"/>
  <c r="N238" i="2" l="1"/>
  <c r="N239" i="2"/>
  <c r="O238" i="2"/>
  <c r="F75" i="3" l="1"/>
  <c r="F74" i="3"/>
  <c r="F73" i="3"/>
  <c r="F71" i="3"/>
  <c r="O352" i="2"/>
  <c r="N352" i="2"/>
  <c r="N331" i="2"/>
  <c r="F315" i="2"/>
  <c r="K315" i="2" s="1"/>
  <c r="K313" i="2" s="1"/>
  <c r="O273" i="2"/>
  <c r="N273" i="2"/>
  <c r="O272" i="2"/>
  <c r="N272" i="2"/>
  <c r="N276" i="2"/>
  <c r="F255" i="2"/>
  <c r="K255" i="2" s="1"/>
  <c r="F252" i="2"/>
  <c r="K252" i="2" s="1"/>
  <c r="O105" i="2" l="1"/>
  <c r="O267" i="2"/>
  <c r="N267" i="2"/>
  <c r="O106" i="2"/>
  <c r="F76" i="3"/>
  <c r="N105" i="2"/>
  <c r="N106" i="2"/>
  <c r="O331" i="2"/>
  <c r="N315" i="2"/>
  <c r="O315" i="2"/>
  <c r="O276" i="2"/>
  <c r="N255" i="2"/>
  <c r="O255" i="2"/>
  <c r="O252" i="2"/>
  <c r="N252" i="2"/>
  <c r="N251" i="2"/>
  <c r="O251" i="2"/>
  <c r="N250" i="2"/>
  <c r="O250" i="2"/>
  <c r="O268" i="2" l="1"/>
  <c r="N268" i="2"/>
  <c r="N244" i="2"/>
  <c r="O244" i="2"/>
  <c r="O278" i="2" l="1"/>
  <c r="O277" i="2"/>
  <c r="N279" i="2" l="1"/>
  <c r="O279" i="2"/>
  <c r="N241" i="2"/>
  <c r="N278" i="2"/>
  <c r="N277" i="2"/>
  <c r="O241" i="2"/>
  <c r="N240" i="2"/>
  <c r="O240" i="2"/>
  <c r="N242" i="2"/>
  <c r="O242" i="2"/>
  <c r="F199" i="2" l="1"/>
  <c r="K199" i="2" s="1"/>
  <c r="N181" i="2"/>
  <c r="F168" i="2"/>
  <c r="K168" i="2" s="1"/>
  <c r="F142" i="2"/>
  <c r="K142" i="2" s="1"/>
  <c r="O266" i="2"/>
  <c r="F113" i="2"/>
  <c r="K113" i="2" s="1"/>
  <c r="O124" i="2"/>
  <c r="O225" i="2" l="1"/>
  <c r="N225" i="2"/>
  <c r="N300" i="2"/>
  <c r="N226" i="2"/>
  <c r="O226" i="2"/>
  <c r="N206" i="2"/>
  <c r="O206" i="2"/>
  <c r="N207" i="2"/>
  <c r="O152" i="2"/>
  <c r="O207" i="2"/>
  <c r="O181" i="2"/>
  <c r="N182" i="2"/>
  <c r="O182" i="2"/>
  <c r="N152" i="2"/>
  <c r="N153" i="2"/>
  <c r="O153" i="2"/>
  <c r="N237" i="2"/>
  <c r="N266" i="2"/>
  <c r="N314" i="2"/>
  <c r="O314" i="2"/>
  <c r="O300" i="2"/>
  <c r="N168" i="2"/>
  <c r="O237" i="2"/>
  <c r="O199" i="2"/>
  <c r="N199" i="2"/>
  <c r="O168" i="2"/>
  <c r="N124" i="2"/>
  <c r="N142" i="2"/>
  <c r="O142" i="2"/>
  <c r="N233" i="2"/>
  <c r="N113" i="2"/>
  <c r="O113" i="2"/>
  <c r="N230" i="2"/>
  <c r="F231" i="2"/>
  <c r="K231" i="2" s="1"/>
  <c r="N229" i="2"/>
  <c r="F35" i="3"/>
  <c r="O351" i="2"/>
  <c r="F58" i="5"/>
  <c r="F57" i="5"/>
  <c r="F56" i="5"/>
  <c r="F55" i="5"/>
  <c r="F51" i="5"/>
  <c r="F49" i="5"/>
  <c r="F48" i="5"/>
  <c r="F44" i="5"/>
  <c r="F42" i="5"/>
  <c r="F41" i="5"/>
  <c r="F37" i="5"/>
  <c r="F35" i="5"/>
  <c r="F34" i="5"/>
  <c r="F30" i="5"/>
  <c r="F27" i="5"/>
  <c r="F23" i="5"/>
  <c r="F21" i="5"/>
  <c r="F20" i="5"/>
  <c r="F19" i="5"/>
  <c r="F66" i="3"/>
  <c r="F65" i="3"/>
  <c r="F64" i="3"/>
  <c r="F63" i="3"/>
  <c r="F62" i="3"/>
  <c r="F58" i="3"/>
  <c r="F57" i="3"/>
  <c r="F53" i="3"/>
  <c r="F54" i="3" s="1"/>
  <c r="F49" i="3"/>
  <c r="F48" i="3"/>
  <c r="F47" i="3"/>
  <c r="F46" i="3"/>
  <c r="F45" i="3"/>
  <c r="F41" i="3"/>
  <c r="F40" i="3"/>
  <c r="F39" i="3"/>
  <c r="F34" i="3"/>
  <c r="F33" i="3"/>
  <c r="F30" i="3"/>
  <c r="F26" i="3"/>
  <c r="F21" i="3"/>
  <c r="F20" i="3"/>
  <c r="F19" i="3"/>
  <c r="K354" i="2"/>
  <c r="O355" i="2"/>
  <c r="N355" i="2"/>
  <c r="O354" i="2"/>
  <c r="N354" i="2"/>
  <c r="N351" i="2"/>
  <c r="O350" i="2"/>
  <c r="N350" i="2"/>
  <c r="O349" i="2"/>
  <c r="N349" i="2"/>
  <c r="O321" i="2"/>
  <c r="N321" i="2"/>
  <c r="O348" i="2"/>
  <c r="N348" i="2"/>
  <c r="O332" i="2"/>
  <c r="N332" i="2"/>
  <c r="O330" i="2"/>
  <c r="N330" i="2"/>
  <c r="O328" i="2"/>
  <c r="N328" i="2"/>
  <c r="O322" i="2"/>
  <c r="N322" i="2"/>
  <c r="O320" i="2"/>
  <c r="N320" i="2"/>
  <c r="O319" i="2"/>
  <c r="N319" i="2"/>
  <c r="O318" i="2"/>
  <c r="N318" i="2"/>
  <c r="O317" i="2"/>
  <c r="N317" i="2"/>
  <c r="O316" i="2"/>
  <c r="N316" i="2"/>
  <c r="O313" i="2"/>
  <c r="N313" i="2"/>
  <c r="O310" i="2"/>
  <c r="N310" i="2"/>
  <c r="O309" i="2"/>
  <c r="N309" i="2"/>
  <c r="O306" i="2"/>
  <c r="N306" i="2"/>
  <c r="O299" i="2"/>
  <c r="N299" i="2"/>
  <c r="O280" i="2"/>
  <c r="N280" i="2"/>
  <c r="O275" i="2"/>
  <c r="N275" i="2"/>
  <c r="O274" i="2"/>
  <c r="N274" i="2"/>
  <c r="O269" i="2"/>
  <c r="N269" i="2"/>
  <c r="O265" i="2"/>
  <c r="N265" i="2"/>
  <c r="O258" i="2"/>
  <c r="N258" i="2"/>
  <c r="O257" i="2"/>
  <c r="N257" i="2"/>
  <c r="O254" i="2"/>
  <c r="N254" i="2"/>
  <c r="O245" i="2"/>
  <c r="N245" i="2"/>
  <c r="O243" i="2"/>
  <c r="N243" i="2"/>
  <c r="O236" i="2"/>
  <c r="N236" i="2"/>
  <c r="O228" i="2"/>
  <c r="N228" i="2"/>
  <c r="O227" i="2"/>
  <c r="N227" i="2"/>
  <c r="O224" i="2"/>
  <c r="N224" i="2"/>
  <c r="O223" i="2"/>
  <c r="N223" i="2"/>
  <c r="O221" i="2"/>
  <c r="N221" i="2"/>
  <c r="O220" i="2"/>
  <c r="N220" i="2"/>
  <c r="O218" i="2"/>
  <c r="N218" i="2"/>
  <c r="O217" i="2"/>
  <c r="N217" i="2"/>
  <c r="O214" i="2"/>
  <c r="N214" i="2"/>
  <c r="O213" i="2"/>
  <c r="N213" i="2"/>
  <c r="O212" i="2"/>
  <c r="N212" i="2"/>
  <c r="O210" i="2"/>
  <c r="N210" i="2"/>
  <c r="O205" i="2"/>
  <c r="N205" i="2"/>
  <c r="O204" i="2"/>
  <c r="N204" i="2"/>
  <c r="O203" i="2"/>
  <c r="N203" i="2"/>
  <c r="O201" i="2"/>
  <c r="N201" i="2"/>
  <c r="O200" i="2"/>
  <c r="N200" i="2"/>
  <c r="O198" i="2"/>
  <c r="N198" i="2"/>
  <c r="O197" i="2"/>
  <c r="N197" i="2"/>
  <c r="O196" i="2"/>
  <c r="N196" i="2"/>
  <c r="O195" i="2"/>
  <c r="N195" i="2"/>
  <c r="O190" i="2"/>
  <c r="N190" i="2"/>
  <c r="O189" i="2"/>
  <c r="N189" i="2"/>
  <c r="O188" i="2"/>
  <c r="N188" i="2"/>
  <c r="O187" i="2"/>
  <c r="N187" i="2"/>
  <c r="O183" i="2"/>
  <c r="N183" i="2"/>
  <c r="O180" i="2"/>
  <c r="N180" i="2"/>
  <c r="O179" i="2"/>
  <c r="N179" i="2"/>
  <c r="O177" i="2"/>
  <c r="N177" i="2"/>
  <c r="O174" i="2"/>
  <c r="N174" i="2"/>
  <c r="O171" i="2"/>
  <c r="N171" i="2"/>
  <c r="O170" i="2"/>
  <c r="N170" i="2"/>
  <c r="O169" i="2"/>
  <c r="N169" i="2"/>
  <c r="O167" i="2"/>
  <c r="N167" i="2"/>
  <c r="O165" i="2"/>
  <c r="N165" i="2"/>
  <c r="O164" i="2"/>
  <c r="N164" i="2"/>
  <c r="O163" i="2"/>
  <c r="N163" i="2"/>
  <c r="O162" i="2"/>
  <c r="N162" i="2"/>
  <c r="O161" i="2"/>
  <c r="N161" i="2"/>
  <c r="O160" i="2"/>
  <c r="N160" i="2"/>
  <c r="O159" i="2"/>
  <c r="N159" i="2"/>
  <c r="O158" i="2"/>
  <c r="N158" i="2"/>
  <c r="O157" i="2"/>
  <c r="N157" i="2"/>
  <c r="O155" i="2"/>
  <c r="N155" i="2"/>
  <c r="O154" i="2"/>
  <c r="N154" i="2"/>
  <c r="O151" i="2"/>
  <c r="N151" i="2"/>
  <c r="O150" i="2"/>
  <c r="N150" i="2"/>
  <c r="O149" i="2"/>
  <c r="N149" i="2"/>
  <c r="O148" i="2"/>
  <c r="N148" i="2"/>
  <c r="O147" i="2"/>
  <c r="N147" i="2"/>
  <c r="O146" i="2"/>
  <c r="N146" i="2"/>
  <c r="O145" i="2"/>
  <c r="N145" i="2"/>
  <c r="O144" i="2"/>
  <c r="N144" i="2"/>
  <c r="O143" i="2"/>
  <c r="N143" i="2"/>
  <c r="O141" i="2"/>
  <c r="N141" i="2"/>
  <c r="O140" i="2"/>
  <c r="N140" i="2"/>
  <c r="O139" i="2"/>
  <c r="N139" i="2"/>
  <c r="O138" i="2"/>
  <c r="N138" i="2"/>
  <c r="O137" i="2"/>
  <c r="N137" i="2"/>
  <c r="O136" i="2"/>
  <c r="N136" i="2"/>
  <c r="O135" i="2"/>
  <c r="N135" i="2"/>
  <c r="O133" i="2"/>
  <c r="N133" i="2"/>
  <c r="O132" i="2"/>
  <c r="N132" i="2"/>
  <c r="O131" i="2"/>
  <c r="N131" i="2"/>
  <c r="O130" i="2"/>
  <c r="N130" i="2"/>
  <c r="O129" i="2"/>
  <c r="N129" i="2"/>
  <c r="O128" i="2"/>
  <c r="N128" i="2"/>
  <c r="O127" i="2"/>
  <c r="N127" i="2"/>
  <c r="O126" i="2"/>
  <c r="N126" i="2"/>
  <c r="O125" i="2"/>
  <c r="N125" i="2"/>
  <c r="O123" i="2"/>
  <c r="N123" i="2"/>
  <c r="O122" i="2"/>
  <c r="N122" i="2"/>
  <c r="O121" i="2"/>
  <c r="N121" i="2"/>
  <c r="O120" i="2"/>
  <c r="N120" i="2"/>
  <c r="O119" i="2"/>
  <c r="N119" i="2"/>
  <c r="O118" i="2"/>
  <c r="N118" i="2"/>
  <c r="O117" i="2"/>
  <c r="N117" i="2"/>
  <c r="O116" i="2"/>
  <c r="N116" i="2"/>
  <c r="O115" i="2"/>
  <c r="N115" i="2"/>
  <c r="O114" i="2"/>
  <c r="N114" i="2"/>
  <c r="O112" i="2"/>
  <c r="N112" i="2"/>
  <c r="O111" i="2"/>
  <c r="N111" i="2"/>
  <c r="O109" i="2"/>
  <c r="N109" i="2"/>
  <c r="O108" i="2"/>
  <c r="N108" i="2"/>
  <c r="O107" i="2"/>
  <c r="N107" i="2"/>
  <c r="O104" i="2"/>
  <c r="N104" i="2"/>
  <c r="O103" i="2"/>
  <c r="N103" i="2"/>
  <c r="O101" i="2"/>
  <c r="N101" i="2"/>
  <c r="O100" i="2"/>
  <c r="N100" i="2"/>
  <c r="O84" i="2"/>
  <c r="N84" i="2"/>
  <c r="O83" i="2"/>
  <c r="N83" i="2"/>
  <c r="O81" i="2"/>
  <c r="N81" i="2"/>
  <c r="O80" i="2"/>
  <c r="N80" i="2"/>
  <c r="O79" i="2"/>
  <c r="N79" i="2"/>
  <c r="O76" i="2"/>
  <c r="N76" i="2"/>
  <c r="O75" i="2"/>
  <c r="N75" i="2"/>
  <c r="O78" i="2"/>
  <c r="N78" i="2"/>
  <c r="O77" i="2"/>
  <c r="N77" i="2"/>
  <c r="N71" i="2"/>
  <c r="O70" i="2"/>
  <c r="N70" i="2"/>
  <c r="O69" i="2"/>
  <c r="N69" i="2"/>
  <c r="O67" i="2"/>
  <c r="N67" i="2"/>
  <c r="O66" i="2"/>
  <c r="N66" i="2"/>
  <c r="O65" i="2"/>
  <c r="N65" i="2"/>
  <c r="O64" i="2"/>
  <c r="N64" i="2"/>
  <c r="O62" i="2"/>
  <c r="N62" i="2"/>
  <c r="O60" i="2"/>
  <c r="N60" i="2"/>
  <c r="O59" i="2"/>
  <c r="N59" i="2"/>
  <c r="O50" i="2"/>
  <c r="N50" i="2"/>
  <c r="O49" i="2"/>
  <c r="N49" i="2"/>
  <c r="O48" i="2"/>
  <c r="N48" i="2"/>
  <c r="O47" i="2"/>
  <c r="N47" i="2"/>
  <c r="O46" i="2"/>
  <c r="N46" i="2"/>
  <c r="O43" i="2"/>
  <c r="N43" i="2"/>
  <c r="O42" i="2"/>
  <c r="N42" i="2"/>
  <c r="H41" i="2"/>
  <c r="O41" i="2" s="1"/>
  <c r="G41" i="2"/>
  <c r="N41" i="2" s="1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26" i="2"/>
  <c r="N26" i="2"/>
  <c r="O25" i="2"/>
  <c r="N25" i="2"/>
  <c r="O24" i="2"/>
  <c r="N24" i="2"/>
  <c r="O23" i="2"/>
  <c r="N23" i="2"/>
  <c r="O22" i="2"/>
  <c r="N22" i="2"/>
  <c r="O21" i="2"/>
  <c r="N21" i="2"/>
  <c r="O20" i="2"/>
  <c r="N20" i="2"/>
  <c r="O19" i="2"/>
  <c r="N19" i="2"/>
  <c r="G30" i="9" l="1"/>
  <c r="AC30" i="9" s="1"/>
  <c r="K141" i="2"/>
  <c r="G21" i="9" s="1"/>
  <c r="AC21" i="9" s="1"/>
  <c r="G26" i="9"/>
  <c r="AC26" i="9" s="1"/>
  <c r="G18" i="9"/>
  <c r="AC18" i="9" s="1"/>
  <c r="K236" i="2"/>
  <c r="G25" i="9" s="1"/>
  <c r="AC25" i="9" s="1"/>
  <c r="F38" i="5"/>
  <c r="G28" i="9"/>
  <c r="AC28" i="9" s="1"/>
  <c r="K348" i="2"/>
  <c r="G29" i="9" s="1"/>
  <c r="AC29" i="9" s="1"/>
  <c r="K299" i="2"/>
  <c r="G27" i="9" s="1"/>
  <c r="AC27" i="9" s="1"/>
  <c r="K18" i="2"/>
  <c r="G16" i="9" s="1"/>
  <c r="AC16" i="9" s="1"/>
  <c r="F50" i="3"/>
  <c r="F222" i="2"/>
  <c r="K222" i="2" s="1"/>
  <c r="K167" i="2"/>
  <c r="G22" i="9" s="1"/>
  <c r="AC22" i="9" s="1"/>
  <c r="K198" i="2"/>
  <c r="G23" i="9" s="1"/>
  <c r="AC23" i="9" s="1"/>
  <c r="K112" i="2"/>
  <c r="G20" i="9" s="1"/>
  <c r="AC20" i="9" s="1"/>
  <c r="O233" i="2"/>
  <c r="N232" i="2"/>
  <c r="O232" i="2"/>
  <c r="N235" i="2"/>
  <c r="N234" i="2"/>
  <c r="O231" i="2"/>
  <c r="O234" i="2"/>
  <c r="O229" i="2"/>
  <c r="N231" i="2"/>
  <c r="O235" i="2"/>
  <c r="O230" i="2"/>
  <c r="O71" i="2"/>
  <c r="K100" i="2"/>
  <c r="G19" i="9" s="1"/>
  <c r="AC19" i="9" s="1"/>
  <c r="K46" i="2"/>
  <c r="G17" i="9" s="1"/>
  <c r="AC17" i="9" s="1"/>
  <c r="F59" i="5"/>
  <c r="F52" i="5"/>
  <c r="F45" i="5"/>
  <c r="F31" i="5"/>
  <c r="F24" i="5"/>
  <c r="F59" i="3"/>
  <c r="F36" i="3"/>
  <c r="F42" i="3"/>
  <c r="F22" i="3"/>
  <c r="F67" i="3"/>
  <c r="F16" i="3"/>
  <c r="F16" i="5"/>
  <c r="AE19" i="9" l="1"/>
  <c r="AA19" i="9"/>
  <c r="W19" i="9"/>
  <c r="Q19" i="9"/>
  <c r="S19" i="9"/>
  <c r="U19" i="9"/>
  <c r="Y19" i="9"/>
  <c r="I19" i="9"/>
  <c r="M19" i="9"/>
  <c r="K19" i="9"/>
  <c r="O19" i="9"/>
  <c r="S16" i="9"/>
  <c r="Q16" i="9"/>
  <c r="U16" i="9"/>
  <c r="Y16" i="9"/>
  <c r="W16" i="9"/>
  <c r="AA16" i="9"/>
  <c r="AE16" i="9"/>
  <c r="O16" i="9"/>
  <c r="M16" i="9"/>
  <c r="I16" i="9"/>
  <c r="K16" i="9"/>
  <c r="Q25" i="9"/>
  <c r="S25" i="9"/>
  <c r="W25" i="9"/>
  <c r="U25" i="9"/>
  <c r="Y25" i="9"/>
  <c r="AA25" i="9"/>
  <c r="AE25" i="9"/>
  <c r="O25" i="9"/>
  <c r="M25" i="9"/>
  <c r="K25" i="9"/>
  <c r="I25" i="9"/>
  <c r="S18" i="9"/>
  <c r="Q18" i="9"/>
  <c r="U18" i="9"/>
  <c r="W18" i="9"/>
  <c r="Y18" i="9"/>
  <c r="AA18" i="9"/>
  <c r="AE18" i="9"/>
  <c r="O18" i="9"/>
  <c r="K18" i="9"/>
  <c r="M18" i="9"/>
  <c r="I18" i="9"/>
  <c r="S22" i="9"/>
  <c r="U22" i="9"/>
  <c r="W22" i="9"/>
  <c r="Y22" i="9"/>
  <c r="AA22" i="9"/>
  <c r="AE22" i="9"/>
  <c r="Q22" i="9"/>
  <c r="O22" i="9"/>
  <c r="M22" i="9"/>
  <c r="I22" i="9"/>
  <c r="K22" i="9"/>
  <c r="AA26" i="9"/>
  <c r="AE26" i="9"/>
  <c r="Q26" i="9"/>
  <c r="U26" i="9"/>
  <c r="S26" i="9"/>
  <c r="Y26" i="9"/>
  <c r="W26" i="9"/>
  <c r="O26" i="9"/>
  <c r="M26" i="9"/>
  <c r="I26" i="9"/>
  <c r="K26" i="9"/>
  <c r="AA21" i="9"/>
  <c r="Q21" i="9"/>
  <c r="S21" i="9"/>
  <c r="U21" i="9"/>
  <c r="W21" i="9"/>
  <c r="Y21" i="9"/>
  <c r="AE21" i="9"/>
  <c r="M21" i="9"/>
  <c r="K21" i="9"/>
  <c r="I21" i="9"/>
  <c r="O21" i="9"/>
  <c r="Q29" i="9"/>
  <c r="S29" i="9"/>
  <c r="Y29" i="9"/>
  <c r="U29" i="9"/>
  <c r="W29" i="9"/>
  <c r="AA29" i="9"/>
  <c r="AE29" i="9"/>
  <c r="K29" i="9"/>
  <c r="I29" i="9"/>
  <c r="O29" i="9"/>
  <c r="M29" i="9"/>
  <c r="AE28" i="9"/>
  <c r="Q28" i="9"/>
  <c r="S28" i="9"/>
  <c r="U28" i="9"/>
  <c r="W28" i="9"/>
  <c r="Y28" i="9"/>
  <c r="AA28" i="9"/>
  <c r="O28" i="9"/>
  <c r="M28" i="9"/>
  <c r="K28" i="9"/>
  <c r="I28" i="9"/>
  <c r="Q27" i="9"/>
  <c r="S27" i="9"/>
  <c r="U27" i="9"/>
  <c r="W27" i="9"/>
  <c r="Y27" i="9"/>
  <c r="AA27" i="9"/>
  <c r="AE27" i="9"/>
  <c r="I27" i="9"/>
  <c r="O27" i="9"/>
  <c r="K27" i="9"/>
  <c r="M27" i="9"/>
  <c r="Q20" i="9"/>
  <c r="S20" i="9"/>
  <c r="U20" i="9"/>
  <c r="W20" i="9"/>
  <c r="Y20" i="9"/>
  <c r="AE20" i="9"/>
  <c r="AA20" i="9"/>
  <c r="K20" i="9"/>
  <c r="I20" i="9"/>
  <c r="M20" i="9"/>
  <c r="O20" i="9"/>
  <c r="U17" i="9"/>
  <c r="S17" i="9"/>
  <c r="Q17" i="9"/>
  <c r="AA17" i="9"/>
  <c r="W17" i="9"/>
  <c r="AE17" i="9"/>
  <c r="Y17" i="9"/>
  <c r="O17" i="9"/>
  <c r="I17" i="9"/>
  <c r="M17" i="9"/>
  <c r="K17" i="9"/>
  <c r="Q23" i="9"/>
  <c r="S23" i="9"/>
  <c r="U23" i="9"/>
  <c r="W23" i="9"/>
  <c r="Y23" i="9"/>
  <c r="AA23" i="9"/>
  <c r="AE23" i="9"/>
  <c r="O23" i="9"/>
  <c r="K23" i="9"/>
  <c r="M23" i="9"/>
  <c r="I23" i="9"/>
  <c r="Q30" i="9"/>
  <c r="AE30" i="9"/>
  <c r="S30" i="9"/>
  <c r="U30" i="9"/>
  <c r="W30" i="9"/>
  <c r="Y30" i="9"/>
  <c r="AA30" i="9"/>
  <c r="O30" i="9"/>
  <c r="M30" i="9"/>
  <c r="K30" i="9"/>
  <c r="I30" i="9"/>
  <c r="N222" i="2"/>
  <c r="O222" i="2"/>
  <c r="K221" i="2"/>
  <c r="G24" i="9" s="1"/>
  <c r="AC24" i="9" s="1"/>
  <c r="AC33" i="9" s="1"/>
  <c r="W24" i="9" l="1"/>
  <c r="Y24" i="9"/>
  <c r="AA24" i="9"/>
  <c r="AA33" i="9" s="1"/>
  <c r="AE24" i="9"/>
  <c r="AE33" i="9" s="1"/>
  <c r="Q24" i="9"/>
  <c r="Q33" i="9" s="1"/>
  <c r="U24" i="9"/>
  <c r="U33" i="9" s="1"/>
  <c r="S24" i="9"/>
  <c r="S33" i="9" s="1"/>
  <c r="I24" i="9"/>
  <c r="I33" i="9" s="1"/>
  <c r="O24" i="9"/>
  <c r="O33" i="9" s="1"/>
  <c r="M24" i="9"/>
  <c r="M33" i="9" s="1"/>
  <c r="K24" i="9"/>
  <c r="K33" i="9" s="1"/>
  <c r="G33" i="9"/>
  <c r="H24" i="9" s="1"/>
  <c r="K424" i="2"/>
  <c r="W33" i="9"/>
  <c r="Y33" i="9"/>
  <c r="O248" i="2"/>
  <c r="O424" i="2" s="1"/>
  <c r="N248" i="2"/>
  <c r="N424" i="2" s="1"/>
  <c r="AD33" i="9" l="1"/>
  <c r="L33" i="9"/>
  <c r="T33" i="9"/>
  <c r="Z33" i="9"/>
  <c r="V33" i="9"/>
  <c r="X33" i="9"/>
  <c r="N33" i="9"/>
  <c r="R33" i="9"/>
  <c r="AF33" i="9"/>
  <c r="P33" i="9"/>
  <c r="AB33" i="9"/>
  <c r="I34" i="9"/>
  <c r="J33" i="9"/>
  <c r="J34" i="9" s="1"/>
  <c r="L34" i="9" s="1"/>
  <c r="N34" i="9" s="1"/>
  <c r="P34" i="9" s="1"/>
  <c r="H32" i="9"/>
  <c r="G34" i="9"/>
  <c r="H31" i="9"/>
  <c r="H28" i="9"/>
  <c r="H18" i="9"/>
  <c r="H29" i="9"/>
  <c r="H17" i="9"/>
  <c r="H22" i="9"/>
  <c r="H20" i="9"/>
  <c r="H25" i="9"/>
  <c r="H21" i="9"/>
  <c r="H23" i="9"/>
  <c r="H30" i="9"/>
  <c r="H16" i="9"/>
  <c r="H26" i="9"/>
  <c r="H27" i="9"/>
  <c r="H19" i="9"/>
  <c r="K431" i="2"/>
  <c r="AG33" i="9" l="1"/>
  <c r="R34" i="9"/>
  <c r="T34" i="9" s="1"/>
  <c r="V34" i="9" s="1"/>
  <c r="X34" i="9" s="1"/>
  <c r="Z34" i="9" s="1"/>
  <c r="AB34" i="9" s="1"/>
  <c r="AD34" i="9" s="1"/>
  <c r="AF34" i="9" s="1"/>
  <c r="H33" i="9"/>
  <c r="H34" i="9" s="1"/>
  <c r="K34" i="9"/>
  <c r="N425" i="2"/>
  <c r="K429" i="2"/>
  <c r="M34" i="9" l="1"/>
  <c r="O34" i="9" s="1"/>
  <c r="K433" i="2"/>
  <c r="K427" i="2" s="1"/>
  <c r="Q34" i="9" l="1"/>
  <c r="S34" i="9" s="1"/>
  <c r="U34" i="9" s="1"/>
  <c r="W34" i="9" s="1"/>
  <c r="Y34" i="9" s="1"/>
  <c r="K435" i="2"/>
  <c r="AA34" i="9" l="1"/>
  <c r="AC34" i="9" s="1"/>
  <c r="AE34" i="9" s="1"/>
</calcChain>
</file>

<file path=xl/sharedStrings.xml><?xml version="1.0" encoding="utf-8"?>
<sst xmlns="http://schemas.openxmlformats.org/spreadsheetml/2006/main" count="2473" uniqueCount="1241">
  <si>
    <t>ITEM</t>
  </si>
  <si>
    <t>VALORES</t>
  </si>
  <si>
    <t>R$ MO</t>
  </si>
  <si>
    <t>R$ MAT</t>
  </si>
  <si>
    <t>R$ TOTAL</t>
  </si>
  <si>
    <t>CODIGO SINAPI</t>
  </si>
  <si>
    <t>DESCRIÇÃO/ SINAPI</t>
  </si>
  <si>
    <t>DESCRIÇÃO MEMORIAL/ PROJETO</t>
  </si>
  <si>
    <t>UND</t>
  </si>
  <si>
    <t>QNTD.</t>
  </si>
  <si>
    <t>R$ (MO+MAT)</t>
  </si>
  <si>
    <t>CENTRO DE EVENTOS CASTELÃO - PRESIDENTE CASTELO BRANCO / SC</t>
  </si>
  <si>
    <t>1 - DEMOLIÇÕES, ESCAVAÇÕES, REMOÇÃO E DESTINAÇÃO DE ENTULHOS</t>
  </si>
  <si>
    <t>1.1.1</t>
  </si>
  <si>
    <t>REMOÇÃO DE PORTAS, DE FORMA MANUAL, SEM REAPROVEITAMENTO. AF_12/2017</t>
  </si>
  <si>
    <t>Demolição de esquadrias (portas, janelas e/ou vidros) com remoção para fora do canteiro de obras (DMT até 100m);</t>
  </si>
  <si>
    <t>m²</t>
  </si>
  <si>
    <t>1.1.2</t>
  </si>
  <si>
    <t>TRANSPORTE HORIZONTAL MANUAL, DE PORTA (UNIDADE: UNIDXKM). AF_07/2019</t>
  </si>
  <si>
    <t>m².km</t>
  </si>
  <si>
    <t>1.1.3</t>
  </si>
  <si>
    <t>REMOÇÃO DE VIDRO LISO COMUM DE ESQUADRIA COM BAGUETE DE ALUMÍNIO OU PVC. AF_01/2021</t>
  </si>
  <si>
    <t>1.1.4</t>
  </si>
  <si>
    <t>TRANSPORTE HORIZONTAL MANUAL, DE VIDRO (UNIDADE: M2XKM). AF_07/2019</t>
  </si>
  <si>
    <t>1.1.5</t>
  </si>
  <si>
    <t>REMOÇÃO DE JANELAS, DE FORMA MANUAL, SEM REAPROVEITAMENTO. AF_12/2017</t>
  </si>
  <si>
    <t>1.1.6</t>
  </si>
  <si>
    <t>TRANSPORTE HORIZONTAL MANUAL, DE JANELA (UNIDADE: M2XKM). AF_07/2019</t>
  </si>
  <si>
    <t>1.2.1</t>
  </si>
  <si>
    <t>REMOÇÃO DE LOUÇAS, DE FORMA MANUAL, SEM REAPROVEITAMENTO. AF_12/2017</t>
  </si>
  <si>
    <t>Demolição de louças (bacia sanitária, caixas acopladas, tanques, mictórios e/ou pias) com remoção para fora do canteiro de obras (incluso remoção de acessórios);</t>
  </si>
  <si>
    <t>und</t>
  </si>
  <si>
    <t>1.2.2</t>
  </si>
  <si>
    <t>TRANSPORTE HORIZONTAL MANUAL, DE BACIA SANITÁRIA, CAIXA ACOPLADA, TANQUE OU PIA UNXKM</t>
  </si>
  <si>
    <t>und.km</t>
  </si>
  <si>
    <t>1.2.3</t>
  </si>
  <si>
    <t>REMOÇÃO DE ACESSÓRIOS, DE FORMA MANUAL, SEM REAPROVEITAMENTO. AF_12/2017</t>
  </si>
  <si>
    <t>1.3.1</t>
  </si>
  <si>
    <t>REMOÇÃO DE TRAMA METÁLICA OU DE MADEIRA PARA FORRO, DE FORMA MANUAL, SEM REAPROVEITAMENTO. AF_12/2017</t>
  </si>
  <si>
    <t>Demolição de forro em madeira, com remoção para fora do canteiro de obras;</t>
  </si>
  <si>
    <t>1.4.1</t>
  </si>
  <si>
    <t>REMOÇÃO DE INTERRUPTORES/TOMADAS ELÉTRICAS, DE FORMA MANUAL, SEM REAPROVEITAMENTO. AF_12/2017</t>
  </si>
  <si>
    <t>Remoção de pontos elétricos, interruptores, tomadas e luminárias (incluso remoção de eletroduto e cabos);</t>
  </si>
  <si>
    <t>1.4.2</t>
  </si>
  <si>
    <t>REMOÇÃO DE LUMINÁRIAS, DE FORMA MANUAL, SEM REAPROVEITAMENTO. AF_12/2017</t>
  </si>
  <si>
    <t>1.4.3</t>
  </si>
  <si>
    <t>REMOÇÃO DE CABOS ELÉTRICOS, DE FORMA MANUAL, SEM REAPROVEITAMENTO. AF_12/2017</t>
  </si>
  <si>
    <t>m</t>
  </si>
  <si>
    <t>1.5.1</t>
  </si>
  <si>
    <t>REMOÇÃO DE TUBULAÇÕES (TUBOS E CONEXÕES) DE ÁGUA FRIA, DE FORMA MANUAL, SEM REAPROVEITAMENTO. AF_12/2017</t>
  </si>
  <si>
    <t>Remoção de pontos de água fria (tubos e conexões);</t>
  </si>
  <si>
    <t>1.6.1</t>
  </si>
  <si>
    <t>DEMOLIÇÃO DE ALVENARIA DE BLOCO FURADO, DE FORMA MANUAL, SEM REAPROVEITAMENTO. AF_12/2017</t>
  </si>
  <si>
    <t>Demolição de parede em alvenaria (incluso estrutura de concreto com pilares e vigas), com remoção para fora do canteiro de obras;</t>
  </si>
  <si>
    <t>1.6.2</t>
  </si>
  <si>
    <t>DEMOLIÇÃO DE PILARES E VIGAS EM CONCRETO ARMADO, DE FORMA MANUAL, SEM REAPROVEITAMENTO. AF_12/2017</t>
  </si>
  <si>
    <t>m³</t>
  </si>
  <si>
    <t>1.6.3</t>
  </si>
  <si>
    <t>CARGA, MANOBRA E DESCARGA DE ENTULHO EM CAMINHÃO BASCULANTE 6 M³ - CARGA COM ESCAVADEIRA HIDRÁULICA (CAÇAMBA DE 0,80 M³ / 111 HP) E DESCARGA LIVRE (UNIDADE: M3). AF_07/2020</t>
  </si>
  <si>
    <t>1.7.1</t>
  </si>
  <si>
    <t>Demolição de revestimento cerâmico em piso e paredes, com remoção para fora do canteiro de obras;</t>
  </si>
  <si>
    <t>1.7.2</t>
  </si>
  <si>
    <t>1.8.1</t>
  </si>
  <si>
    <t>DEMOLIÇÃO DE LAJES, DE FORMA MECANIZADA COM MARTELETE, SEM REAPROVEITAMENTO. AF_12/2017</t>
  </si>
  <si>
    <t>Demolição de piso em concreto armado para abertura de valas para redes de esgoto, com remoção para fora do canteiro de obras;</t>
  </si>
  <si>
    <t>1.8.2</t>
  </si>
  <si>
    <t>1.9.1</t>
  </si>
  <si>
    <t>ESCAVAÇÃO MECANIZADA DE VALA COM PROF. ATÉ 1,5 M (MÉDIA MONTANTE E JUSANTE/UMA COMPOSIÇÃO POR TRECHO), ESCAVADEIRA (0,8 M3), LARG. DE 1,5 M A 2,5 M, EM SOLO DE 1A CATEGORIA, EM LOCAIS COM ALTO NÍVEL DE INTERFERÊNCIA. AF_02/2021</t>
  </si>
  <si>
    <t>Escavação mecanizada de solo para execução de rampa de acesso PCD e muro de cotenção, com remoção para fora do canteiro de obras</t>
  </si>
  <si>
    <t>1.9.2</t>
  </si>
  <si>
    <t>1.10.1</t>
  </si>
  <si>
    <t>Destinação de entulho proveniente de escavação de solo e demolição civil (concreto/aço, cerâmica/alvenaria, madeira, plasticos e papeis) - considerado sobre o volume calculado, acréscimo de 40% para fator de empolamento;</t>
  </si>
  <si>
    <t>1.11.1</t>
  </si>
  <si>
    <t>LIMPEZA MANUAL DE VEGETAÇÃO EM TERRENO COM ENXADA.AF_05/2018</t>
  </si>
  <si>
    <t>2 - RAMPA PCD - CONTENÇÃO, PAVIMENTAÇÃO, PROTEÇÕES E ACABAMENTOS</t>
  </si>
  <si>
    <t>2.1.1</t>
  </si>
  <si>
    <t>FABRICAÇÃO, MONTAGEM E DESMONTAGEM DE FÔRMA PARA CORTINA DE CONTENÇÃO, EM CHAPA DE MADEIRA COMPENSADA PLASTIFICADA, E = 18 MM, 10 UTILIZAÇÕES. AF_07/2019</t>
  </si>
  <si>
    <t>Muro de contenção em concreto armado, fck 30MPa, taxa de aço de ~75Kg/m³, para rampa de acesso PCD;</t>
  </si>
  <si>
    <t>2.1.2</t>
  </si>
  <si>
    <t>ARMAÇÃO DE CORTINA DE CONTENÇÃO EM CONCRETO ARMADO, COM AÇO CA-50 DE 8 MM - MONTAGEM. AF_07/2019</t>
  </si>
  <si>
    <t>Kg</t>
  </si>
  <si>
    <t>2.1.3</t>
  </si>
  <si>
    <t>CONCRETAGEM DE CORTINA DE CONTENÇÃO, ATRAVÉS DE BOMBA LANÇAMENTO, ADENSAMENTO E ACABAMENTO. AF_07/2019</t>
  </si>
  <si>
    <t>2.2.1</t>
  </si>
  <si>
    <t>Dreno para muro de conteção, com uma linha de kanadren/kanaflex, envolto em camada de brita e manta de bidin;</t>
  </si>
  <si>
    <t>2.3.1</t>
  </si>
  <si>
    <t>IMPERMEABILIZAÇÃO DE SUPERFÍCIE COM EMULSÃO ASFÁLTICA, 2 DEMÃOS AF_06/2018</t>
  </si>
  <si>
    <t>2.4.1</t>
  </si>
  <si>
    <t>EXECUÇÃO E COMPACTAÇÃO DE BASE E OU SUB BASE PARA PAVIMENTAÇÃO DE BRITA GRADUADA SIMPLES - EXCLUSIVE CARGA E TRANSPORTE. AF_11/2019</t>
  </si>
  <si>
    <t>2.4.2</t>
  </si>
  <si>
    <t>EXECUÇÃO DE PASSEIO (CALÇADA) OU PISO DE CONCRETO COM CONCRETO MOLDADO IN-LOCO, USINADO, ACABAMENTO CONVENCIONAL, ESPESSURA 8 CM, ARMADO. AF_08/2022</t>
  </si>
  <si>
    <t>2.5.1</t>
  </si>
  <si>
    <t>2.7.1</t>
  </si>
  <si>
    <t>ALVENARIA DE VEDAÇÃO DE BLOCOS CERÂMICOS FURADOS NA HORIZONTAL DE 14X9X19 CM (ESPESSURA 14 CM, BLOCO DEITADO) E ARGAMASSA DE ASSENTAMENTO COM PREPARO EM BETONEIRA. AF_12/2021</t>
  </si>
  <si>
    <t>CHAPISCO APLICADO EM ALVENARIAS E ESTRUTURAS DE CONCRETO INTERNAS, COM COLHER DE PEDREIRO. ARGAMASSA TRAÇO 1:3 COM PREPARO MANUAL. AF_06/2014</t>
  </si>
  <si>
    <t>MASSA ÚNICA, PARA RECEBIMENTO DE PINTURA, EM ARGAMASSA TRAÇO 1:2:8, PREPARO MECÂNICO COM BETONEIRA 400L, APLICADA MANUALMENTE EM FACES INTERNAS DE PAREDES, ESPESSURA DE 20MM, COM EXECUÇÃO DE TALISCAS. AF_06/2014</t>
  </si>
  <si>
    <t>2.8.1</t>
  </si>
  <si>
    <t>COMPOSIÇÃO 03</t>
  </si>
  <si>
    <t>GUARDA-CORPO DE AÇO INOX 304 POLIDO, DE 1,10M, MONTANTES TUBULARES DE 1.1/2" ESPAÇADOS DE 1,20M, TRAVESSA SUPERIOR E INFERIOR DE 1.1/4", GRADIL FORMADO POR TUBOS VERTICAIS DE 5/8", FIXADO COM CHUMBADOR MECÂNICO.</t>
  </si>
  <si>
    <t>Proteções tipo guarda corpo h=1,10m em aço inox 304 polido e corrimão duplo;</t>
  </si>
  <si>
    <t>2.8.2</t>
  </si>
  <si>
    <t>COMPOSIÇÃO 04</t>
  </si>
  <si>
    <t>CORRIMÃO DUPLO DIÂMETRO EXTERNO = 1 1/2", EM AÇO INOX 304 POLIDO;</t>
  </si>
  <si>
    <t>2.9.1</t>
  </si>
  <si>
    <t>PINTURA COM TINTA ACRÍLICA DE FUNDO APLICADA A ROLO OU PINCEL SOBRE SUPERFÍCIES METÁLICAS (EXCETO PERFIL) EXECUTADO EM OBRA (POR DEMÃO). AF_01/2020</t>
  </si>
  <si>
    <t>2.9.3</t>
  </si>
  <si>
    <t>PINTURA COM TINTA ACRÍLICA DE ACABAMENTO APLICADA A ROLO OU PINCEL SOBRE SUPERFÍCIES METÁLICAS (EXCETO PERFIL) EXECUTADO EM OBRA (02 DEMÃOS). AF_01/2020</t>
  </si>
  <si>
    <t>3 - CALÇADAS E ESCADAS DE ACESSO EXTERNAS - PISO PODOTÁTIL, SINALIZAÇÕES, PROTEÇÕES E ACABAMENTOS</t>
  </si>
  <si>
    <t>3.1.1</t>
  </si>
  <si>
    <t>COMPOSIÇÃO 01</t>
  </si>
  <si>
    <t>3.2.1</t>
  </si>
  <si>
    <t>3.3.1</t>
  </si>
  <si>
    <t>3.4.1</t>
  </si>
  <si>
    <t>3.5.1</t>
  </si>
  <si>
    <t>Execução de chapisco e reboco único - paredes/muretas da área das escadas/entrada</t>
  </si>
  <si>
    <t>3.5.2</t>
  </si>
  <si>
    <t>3.6.1</t>
  </si>
  <si>
    <t>3.6.2</t>
  </si>
  <si>
    <t>3.7.1</t>
  </si>
  <si>
    <t>PLANTIO DE GRAMA ESMERALDA OU SÃO CARLOS OU CURITIBANA, EM PLACAS. AF_05/2022</t>
  </si>
  <si>
    <t>Plantio de vegetação rasteira tipo grama, jardim frontal, proximo a entrada principal.</t>
  </si>
  <si>
    <t>4 - ESTACIONAMENTO PCD E ÁREA DE MANOBRA - PAVIMENTAÇÃO E DEMARCAÇÕES</t>
  </si>
  <si>
    <t>4.1.1</t>
  </si>
  <si>
    <t>4.1.2</t>
  </si>
  <si>
    <t>EXECUÇÃO DE PÁTIO/ESTACIONAMENTO EM PISO INTERTRAVADO, COM BLOCO RETANGULAR COR NATURAL DE 20 X 10 CM, ESPESSURA 6 CM. AF_12/2015</t>
  </si>
  <si>
    <t>4.1.3</t>
  </si>
  <si>
    <t>PINTURA DE DEMARCAÇÃO DE VAGA COM TINTA ACRÍLICA, E = 10 CM, APLICAÇÃO MANUAL. AF_05/2021</t>
  </si>
  <si>
    <t>4.2.1</t>
  </si>
  <si>
    <t>4.2.2</t>
  </si>
  <si>
    <t>4.3.1</t>
  </si>
  <si>
    <t>GUIA (MEIO-FIO) CONCRETO, MOLDADA IN LOCO EM TRECHO RETO COM EXTRUSORA, 13 CM BASE X 22 CM ALTURA. AF_06/2016</t>
  </si>
  <si>
    <t>4.5.1</t>
  </si>
  <si>
    <t>PINTURA DE SÍMBOLOS E TEXTOS COM TINTA ACRÍLICA, DEMARCAÇÃO COM FITA ADESIVA E APLICAÇÃO COM ROLO. AF_05/2021</t>
  </si>
  <si>
    <t>Pintura e demarcação de espaço PCD para estacionamento</t>
  </si>
  <si>
    <t>5 - WC MASCULINO</t>
  </si>
  <si>
    <t>5.1.1</t>
  </si>
  <si>
    <t>COMPOSIÇÃO
PRÓPRIA</t>
  </si>
  <si>
    <t>5.1.2</t>
  </si>
  <si>
    <t>CAIXA SIFONADA, PVC, DN 100 X 100 X 50 MM, FORNECIDA E INSTALADA EM RAMAIS DE ENCAMINHAMENTO DE ÁGUA PLUVIAL. AF_06/2022</t>
  </si>
  <si>
    <t>(COMPOSIÇÃO REPRESENTATIVA) DO SERVIÇO DE INSTALAÇÃO DE TUBO DE PVC, SÉRIE NORMAL, ESGOTO PREDIAL, DN 50 MM (INSTALADO EM RAMAL DE DESCARGA OU RAMAL DE ESGOTO SANITÁRIO), INCLUSIVE CONEXÕES, CORTES E FIXAÇÕES PARA, PRÉDIOS. AF_10/2015</t>
  </si>
  <si>
    <t>5.1.3</t>
  </si>
  <si>
    <t>COMPOSIÇÃO
PRÓPRIA</t>
  </si>
  <si>
    <t>(COMPOSIÇÃO REPRESENTATIVA) DO SERVIÇO DE INST. TUBO PVC, SÉRIE N, ESGOTO PREDIAL, 100 MM (INST. RAMAL DESCARGA, RAMAL DE ESG. SANIT., PRUMADA ESG. SANIT., VENTILAÇÃO OU SUB-COLETOR AÉREO), INCL. CONEXÕES E CORTES, FIXAÇÕES, P/ PRÉDIOS. AF_10/2015</t>
  </si>
  <si>
    <t>5.2.1</t>
  </si>
  <si>
    <t>5.3.1</t>
  </si>
  <si>
    <t>Alvenaria de vedação, estruturada com elementos de concreto (pilaretes e cintas) com revestimento em chapisco e reboco único - para complemento interno do WC;</t>
  </si>
  <si>
    <t>5.3.2</t>
  </si>
  <si>
    <t>5.3.3</t>
  </si>
  <si>
    <t>EMBOÇO, PARA RECEBIMENTO DE CERÂMICA, EM ARGAMASSA TRAÇO 1:2:8, PREPARO MECÂNICO COM BETONEIRA 400L, APLICADO MANUALMENTE EM FACES INTERNAS DE PAREDES, PARA AMBIENTE COM ÁREA MENOR QUE 5M2, ESPESSURA DE 20MM, COM EXECUÇÃO
DE TALISCAS. AF_06/2014</t>
  </si>
  <si>
    <t>5.4.1</t>
  </si>
  <si>
    <t>(COMPOSIÇÃO REPRESENTATIVA) DO SERVIÇO DE INSTALAÇÃO DE TUBOS DE PVC, SOLDÁVEL, ÁGUA FRIA, DN 25 MM (INSTALADO EM RAMAL, SUB-RAMAL, RAMAL DE DISTRIBUIÇÃO OU PRUMADA), INCLUSIVE CONEXÕES, CORTES E FIXAÇÕES, PARA PRÉDIOS. AF_10/2015</t>
  </si>
  <si>
    <t>Instalações de água fria em tubo de PVC Soldável Ø25-32mm (tubos e conexões);</t>
  </si>
  <si>
    <t>5.4.2</t>
  </si>
  <si>
    <t>(COMPOSIÇÃO REPRESENTATIVA) DO SERVIÇO DE INSTALAÇÃO TUBOS DE PVC, SOLDÁVEL, ÁGUA FRIA, DN 32 MM (INSTALADO EM RAMAL, SUB-RAMAL, RAMAL DE DISTRIBUIÇÃO OU PRUMADA), INCLUSIVE CONEXÕES, CORTES E FIXAÇÕES, PARA PRÉDIOS. AF_10/2015</t>
  </si>
  <si>
    <t>REGISTRO DE PRESSÃO BRUTO, LATÃO, ROSCÁVEL, 3/4'' - FORNECIMENTO E INSTALAÇÃO. AF_08/2021</t>
  </si>
  <si>
    <t>5.5.1</t>
  </si>
  <si>
    <t>5.6.1</t>
  </si>
  <si>
    <t>5.7.1</t>
  </si>
  <si>
    <t>PORTA EM ALUMÍNIO DE ABRIR TIPO VENEZIANA COM GUARNIÇÃO, FIXAÇÃO COM PARAFUSOS - FORNECIMENTO E INSTALAÇÃO. AF_12/2019</t>
  </si>
  <si>
    <t>Porta de giro em aluminio tipo veneziana, 1 folha;</t>
  </si>
  <si>
    <t>5.8.1</t>
  </si>
  <si>
    <t>Substituição de vidros;</t>
  </si>
  <si>
    <t>5.9.1</t>
  </si>
  <si>
    <t>Pintura de teto/laje;</t>
  </si>
  <si>
    <t>5.9.2</t>
  </si>
  <si>
    <t>5.10.1</t>
  </si>
  <si>
    <t>Louças e metais sanitários</t>
  </si>
  <si>
    <t>5.10.2</t>
  </si>
  <si>
    <t>ASSENTO SANITÁRIO CONVENCIONAL - FORNECIMENTO E INSTALACAO. AF_01/2020</t>
  </si>
  <si>
    <t>5.10.3</t>
  </si>
  <si>
    <t>5.10.4</t>
  </si>
  <si>
    <t>TAPA VISTA DE MICTÓRIO EM GRANITO CINZA POLIDO, ESP = 3CM, ASSENTADO COM ARGAMASSA COLANTE AC III-E . AF_01/2021</t>
  </si>
  <si>
    <t>5.10.5</t>
  </si>
  <si>
    <t>MICTÓRIO SIFONADO LOUÇA BRANCA PADRÃO MÉDIO FORNECIMENTO E INSTALAÇÃO. AF_01/2020</t>
  </si>
  <si>
    <t>5.10.6</t>
  </si>
  <si>
    <t>BARRA DE APOIO RETA, EM ACO INOX POLIDO, COMPRIMENTO 80 CM, FIXADA NA PAREDE - FORNECIMENTO E INSTALAÇÃO. AF_01/2020</t>
  </si>
  <si>
    <t>5.10.7</t>
  </si>
  <si>
    <t>BARRA DE APOIO RETA, EM ACO INOX POLIDO, COMPRIMENTO 70 CM, FIXADA NA PAREDE - FORNECIMENTO E INSTALAÇÃO. AF_01/2020</t>
  </si>
  <si>
    <t>5.10.8</t>
  </si>
  <si>
    <t>BARRA DE APOIO RETA, EM ACO INOX POLIDO, COMPRIMENTO 60CM, FIXADA NA PAREDE - FORNECIMENTO E INSTALAÇÃO. AF_01/2020</t>
  </si>
  <si>
    <t>5.10.9</t>
  </si>
  <si>
    <t>COMPOSIÇÃO 07</t>
  </si>
  <si>
    <t>LAVATÓRIO LOUÇA BRANCA SUSPENSO, DE CANTO OU EQUIVALENTE, PADRÃO POPULAR, INCLUSO SIFÃO FLEXÍVEL EM PVC, VÁLVULA E ENGATE FLEXÍVEL 30CM EM PLÁSTICO E TORNEIRA CROMADA DE MESA COM ALAVANCA E FECHAMENTO MANUAL - FORNECIMENTO E INSTALAÇÃO.</t>
  </si>
  <si>
    <t>6 - WC FEMININO</t>
  </si>
  <si>
    <t>6.1.1</t>
  </si>
  <si>
    <t>6.1.2</t>
  </si>
  <si>
    <t>6.1.3</t>
  </si>
  <si>
    <t>6.2.1</t>
  </si>
  <si>
    <t>6.3.1</t>
  </si>
  <si>
    <t>6.3.2</t>
  </si>
  <si>
    <t>6.3.3</t>
  </si>
  <si>
    <t>6.4.1</t>
  </si>
  <si>
    <t>Instalações de água fria em tubo de PVC Soldável Ø25mm (tubos e conexões);</t>
  </si>
  <si>
    <t>6.4.2</t>
  </si>
  <si>
    <t>6.5.1</t>
  </si>
  <si>
    <t>6.6.1</t>
  </si>
  <si>
    <t>6.7.1</t>
  </si>
  <si>
    <t>6.8.1</t>
  </si>
  <si>
    <t>JANELA DE ALUMÍNIO TIPO MAXIM-AR, COM VIDROS, BATENTE E FERRAGENS. EXCLUSIVE ALIZAR, ACABAMENTO E CONTRAMARCO. FORNECIMENTO E INSTALAÇÃO. AF_12/2019</t>
  </si>
  <si>
    <t>Janela maxim-ar em alumínio e vidro</t>
  </si>
  <si>
    <t>6.9.1</t>
  </si>
  <si>
    <t>6.9.2</t>
  </si>
  <si>
    <t>6.10.1</t>
  </si>
  <si>
    <t>6.10.2</t>
  </si>
  <si>
    <t>6.10.3</t>
  </si>
  <si>
    <t>6.10.4</t>
  </si>
  <si>
    <t>6.10.5</t>
  </si>
  <si>
    <t>6.10.6</t>
  </si>
  <si>
    <t>7 - CHURRASQUEIRA, APOIO E DEPÓSITO</t>
  </si>
  <si>
    <t>7.1.1</t>
  </si>
  <si>
    <t>7.1.2</t>
  </si>
  <si>
    <t>7.2.1</t>
  </si>
  <si>
    <t>7.3.1</t>
  </si>
  <si>
    <t>7.3.2</t>
  </si>
  <si>
    <t>7.3.3</t>
  </si>
  <si>
    <t>7.3.4</t>
  </si>
  <si>
    <t>7.4.1</t>
  </si>
  <si>
    <t>7.4.2</t>
  </si>
  <si>
    <t>7.5.1</t>
  </si>
  <si>
    <t>7.6.1</t>
  </si>
  <si>
    <t>7.7.1</t>
  </si>
  <si>
    <t>7.7.2</t>
  </si>
  <si>
    <t>ACABAMENTOS PARA FORRO (RODA-FORRO EM PERFIL METÁLICO E PLÁSTICO). AF_05/2017</t>
  </si>
  <si>
    <t>7.8.1</t>
  </si>
  <si>
    <t>7.8.2</t>
  </si>
  <si>
    <t>7.10.1</t>
  </si>
  <si>
    <t>BANCADA DE GRANITO CINZA POLIDO, DE 1,50 X 0,60 M, PARA PIA DE COZINHA - FORNECIMENTO E INSTALAÇÃO. AF_01/2020</t>
  </si>
  <si>
    <t>Louças e metais hidrossanitários</t>
  </si>
  <si>
    <t>7.10.2</t>
  </si>
  <si>
    <t>TORNEIRA CROMADA TUBO MÓVEL, DE MESA, 1/2 OU 3/4, PARA PIA DE COZINHA, PADRÃO ALTO - FORNECIMENTO E INSTALAÇÃO. AF_01/2020</t>
  </si>
  <si>
    <t>7.10.3</t>
  </si>
  <si>
    <t>CUBA DE EMBUTIR DE AÇO INOXIDÁVEL MÉDIA, INCLUSO VÁLVULA TIPO AMERICANA EM METAL CROMADO E SIFÃO FLEXÍVEL EM PVC - FORNECIMENTO E INSTALAÇÃO. AF_01/</t>
  </si>
  <si>
    <t>8 - COZINHA</t>
  </si>
  <si>
    <t>8.1.1</t>
  </si>
  <si>
    <t>8.1.2</t>
  </si>
  <si>
    <t>8.2.1</t>
  </si>
  <si>
    <t>8.3.1</t>
  </si>
  <si>
    <t>8.3.2</t>
  </si>
  <si>
    <t>8.4.1</t>
  </si>
  <si>
    <t>8.5.1</t>
  </si>
  <si>
    <t>8.6.1</t>
  </si>
  <si>
    <t>8.6.2</t>
  </si>
  <si>
    <t>8.7.1</t>
  </si>
  <si>
    <t>8.8.1</t>
  </si>
  <si>
    <t>8.8.2</t>
  </si>
  <si>
    <t>8.8.3</t>
  </si>
  <si>
    <t>9 - BAR</t>
  </si>
  <si>
    <t>9.1.1</t>
  </si>
  <si>
    <t>9.1.2</t>
  </si>
  <si>
    <t>9.2.1</t>
  </si>
  <si>
    <t>9.3.1</t>
  </si>
  <si>
    <t>9.4.1</t>
  </si>
  <si>
    <t>9.5.1</t>
  </si>
  <si>
    <t>Pintura das paredes rebocadas e laje</t>
  </si>
  <si>
    <t>9.5.2</t>
  </si>
  <si>
    <t>9.6.1</t>
  </si>
  <si>
    <t>Tampo em granito para bancada</t>
  </si>
  <si>
    <t>10 - SALA DE JOGOS E CIRCULAÇÕES INTERNAS</t>
  </si>
  <si>
    <t>10.1.1</t>
  </si>
  <si>
    <t>10.2.1</t>
  </si>
  <si>
    <t>10.3.1</t>
  </si>
  <si>
    <t>PAREDE COM PLACAS DE GESSO ACARTONADO (DRYWALL), PARA USO INTERNO, COM DUAS FACES SIMPLES E ESTRUTURA METÁLICA COM GUIAS SIMPLES, COM VÃOS AF_06/2017_PS</t>
  </si>
  <si>
    <t>10.4.1</t>
  </si>
  <si>
    <t>JANELA DE ALUMÍNIO DE CORRER COM 4 FOLHAS PARA VIDROS, COM VIDROS, BATENTE, ACABAMENTO COM ACETATO OU BRILHANTE E FERRAGENS. EXCLUSIVE ALIZAR E CONTRAMARCO. FORNECIMENTO E INSTALAÇÃO. AF_12/2019</t>
  </si>
  <si>
    <t>Janela de correr 4 folhas (2f + 2m) em alumínio e vidro;</t>
  </si>
  <si>
    <t>10.5.1</t>
  </si>
  <si>
    <t>10.6.1</t>
  </si>
  <si>
    <t>10.6.2</t>
  </si>
  <si>
    <t>10.7.1</t>
  </si>
  <si>
    <t>Pintura e demarcação de espaço PCD para espectador</t>
  </si>
  <si>
    <t>11 - CANCHA DE BOCHA</t>
  </si>
  <si>
    <t>11.1.1</t>
  </si>
  <si>
    <t>11.2.1</t>
  </si>
  <si>
    <t>11.3.1</t>
  </si>
  <si>
    <t>PISO PODOTÁTIL DE ALERTA OU DIRECIONAL, DE BORRACHA, ASSENTADO SOBRE ARGAMASSA. AF_05/2020</t>
  </si>
  <si>
    <t>Piso podotátil (alerta e direcional) 25x25cm de borracha, assentado com argamassa AC III e rejute de pasta de cimento;</t>
  </si>
  <si>
    <t>11.4.1</t>
  </si>
  <si>
    <t>Corrimão Duplo em inox 304 polido;</t>
  </si>
  <si>
    <t>11.5.1</t>
  </si>
  <si>
    <t>11.6.1</t>
  </si>
  <si>
    <t>11.7.1</t>
  </si>
  <si>
    <t>PINTURA COM TINTA EPOXÍDICA DE ACABAMENTO PULVERIZADA SOBRE PERFIL METÁLICO EXECUTADO EM FÁBRICA (POR DEMÃO). F_01/2020_P</t>
  </si>
  <si>
    <t>Reparação de portão/porta de ferro existente - acesso a chancha e janela da circulação</t>
  </si>
  <si>
    <t>CONTRAPISO EM ARGAMASSA TRAÇO 1:4 (CIMENTO E AREIA), PREPARO MECÂNICO COM BETONEIRA 400 L, APLICADO EM ÁREAS SECAS SOBRE LAJE, ADERIDO, ACABAMENTO NÃO REFORÇADO, ESPESSURA 3CM. AF_07/2021</t>
  </si>
  <si>
    <t>PLACAR ELETÔNICO ESPORTIVO MULTELETRONIC 38x12CM COM CONTROLE SEM FIO - FORNECIMENTO E INSTALAÇÃO - UND</t>
  </si>
  <si>
    <t>12 - BOLÃO</t>
  </si>
  <si>
    <t>12.1.1</t>
  </si>
  <si>
    <t>12.2.1</t>
  </si>
  <si>
    <t>12.2.2</t>
  </si>
  <si>
    <t>12.3.1</t>
  </si>
  <si>
    <t>PISO DE BORRACHA PASTILHADO, ESPESSURA 3,5MM, FIXADO COM ADESIVO ACRÍLICO. AF_09/2020</t>
  </si>
  <si>
    <t>Piso emborrachado, tipo moeda, fixado com cola;</t>
  </si>
  <si>
    <t>12.4.1</t>
  </si>
  <si>
    <t>PISO VINÍLICO SEMI-FLEXÍVEL EM PLACAS, PADRÃO LISO, ESPESSURA 3,2 MM, FIXADO COM COLA. AF_09/2020</t>
  </si>
  <si>
    <t>Piso vinílico, liso, fixado com cola;</t>
  </si>
  <si>
    <t>13 - EDIFICAÇÃO - EXTERNO</t>
  </si>
  <si>
    <t>13.1.1</t>
  </si>
  <si>
    <t>13.1.2</t>
  </si>
  <si>
    <t>13.2.1</t>
  </si>
  <si>
    <t>13.2.2</t>
  </si>
  <si>
    <t>13.3.1</t>
  </si>
  <si>
    <t>REMOÇÃO DE TELHAS DE FIBROCIMENTO, METÁLICA E CERÂMICA, DE FORMA MECANIZADA, COM USO DE GUINDASTE, SEM REAPROVEITAMENTO. AF_12/2017</t>
  </si>
  <si>
    <t>13.3.2</t>
  </si>
  <si>
    <t>TELHAMENTO COM TELHA DE AÇO/ALUMÍNIO E = 0,5 MM, COM ATÉ 2 ÁGUAS, INCLUSO IÇAMENTO. AF_07/2019</t>
  </si>
  <si>
    <t>13.4.1</t>
  </si>
  <si>
    <t>RUFO EXTERNO/INTERNO EM CHAPA DE AÇO GALVANIZADO NÚMERO 26, CORTE DE 33 CM, INCLUSO IÇAMENTO. AF_07/2019</t>
  </si>
  <si>
    <t>13.5.1</t>
  </si>
  <si>
    <t>13.6.1</t>
  </si>
  <si>
    <t>13.7.1</t>
  </si>
  <si>
    <t>Placa metálica com suporte para identificação de vaga idoso</t>
  </si>
  <si>
    <t>13.8.1</t>
  </si>
  <si>
    <t>Pintura e demarcação de espaço idoso para estacionamento</t>
  </si>
  <si>
    <t>14 - EDIFICAÇÃO - INTERNO</t>
  </si>
  <si>
    <t>COMPOSIÇÃO 06</t>
  </si>
  <si>
    <t>EXAUSTOR EÓLICO COMERCIAL / INDUSTRIAL, DIAMETRO DE 24" COMPLETO - UND</t>
  </si>
  <si>
    <t>14.2.1</t>
  </si>
  <si>
    <t>COMPOSIÇÃO 08</t>
  </si>
  <si>
    <t>MAPA TATIL BRAILE / RELEVO ACRILICO 40x80CM COMPEDESTAL EM AÇO COM PINTURA ELETROSTÁTICA PARA MAPA TÁTIL 40X80 CM</t>
  </si>
  <si>
    <t>Totem com mapa em Braile - uso interno;</t>
  </si>
  <si>
    <t>14.3.1</t>
  </si>
  <si>
    <t>COMPOSIÇÃO 09</t>
  </si>
  <si>
    <t>PLACA BRAILLE EM ALUMÍNIO FIXA NO CORRIMÃO INDICAÇÃO DE PAVIMENTO - RELEVO ALUMÍNIO</t>
  </si>
  <si>
    <t>Indentificaçao em Braile para portas - uso interno;</t>
  </si>
  <si>
    <t>14.4.1</t>
  </si>
  <si>
    <t>COMPOSIÇÃO 02</t>
  </si>
  <si>
    <t>Reparação dos consoles/misulas de apoio da tesoura na estrutura, dimensões aproximadas de 20x30x40cm;</t>
  </si>
  <si>
    <t>15.2.1</t>
  </si>
  <si>
    <t>TAPUME COM COMPENSADO DE MADEIRA. AF_05/2018</t>
  </si>
  <si>
    <t>Montagem e desmontagem de tapumes para isolar área;</t>
  </si>
  <si>
    <t>TOTAL</t>
  </si>
  <si>
    <t>TOTAL DE MÃO DE OBRA</t>
  </si>
  <si>
    <t>TOTAL DE MATERIAL</t>
  </si>
  <si>
    <t>COMP. DE MERCADO</t>
  </si>
  <si>
    <t>Unidade:</t>
  </si>
  <si>
    <t>CÓD.</t>
  </si>
  <si>
    <t>DESCRIÇÃO</t>
  </si>
  <si>
    <t>UN.</t>
  </si>
  <si>
    <t>COEFICIENTE</t>
  </si>
  <si>
    <t>PREÇO</t>
  </si>
  <si>
    <t>-</t>
  </si>
  <si>
    <t>KG</t>
  </si>
  <si>
    <t>Mercado Local</t>
  </si>
  <si>
    <t>H</t>
  </si>
  <si>
    <t>SERVENTE DE OBRAS</t>
  </si>
  <si>
    <t>* Base de referência - SINAPI e MERCADO LOCAL</t>
  </si>
  <si>
    <t>OK</t>
  </si>
  <si>
    <t>MONTAGEM E DESMONTAGEM DE ANDAIME TUBULAR TIPO TORRE (EXCLUSIVE ANDAIME E LIMPEZA). AF_11/2017</t>
  </si>
  <si>
    <t>M</t>
  </si>
  <si>
    <t>REMOÇÃO DE CONCRETO FRAGMENTADO COM LIMPEZA DO LOCAL, ESCOVAÇÃO DO AÇO PARA REMOÇÃO DA OXIDAÇÃO. APLICAÇÃO DE FUNDO CONVERTEDOR DE FERRUGEM;</t>
  </si>
  <si>
    <t>MONTAGEM E DESMONTAGEM DE FORMAS, REESTRUTURAÇAO COM ARGAMASSA DE CONCRETO TIPO GROUT;</t>
  </si>
  <si>
    <t>GUARDA-CORPO EM AÇO INOX 304 DE 1,10M DE ALTURA, MONTANTES TUBULARES DE 1.1/2" ESPAÇADOS DE 1,20M, TRAVESSAS HORIZONTAIS SUPERIOR E INFERIOR DE 1.1/4", GRADIL FORMADO POR TUBOS VERTICAIS DE 5/8" ESPAÇADOS NO MÁXIMO A CADA 10CM, FIXADO COM CHUMBADOR MECÂNICO.</t>
  </si>
  <si>
    <t>* Base de referência - MERCADO LOCAL</t>
  </si>
  <si>
    <t xml:space="preserve">CORRIMÃO DUPLO EM AÇO INOX 304 COM DIAMETRO DE 1.1/2" </t>
  </si>
  <si>
    <t>CORRIMÃO DUPLO EM AÇO INOX 304 COM DIAMETRO DE 1.1/2"</t>
  </si>
  <si>
    <t>PLACAR ELETÔNICO ESPORTIVO MULTELETRONIC 38x12CM COM CONTROLE SEM FIO;</t>
  </si>
  <si>
    <t>AUXILIAR DE ELETRICISTA COM ENCARGOS COMPLEMENTARES</t>
  </si>
  <si>
    <t>ELETRICISTA COM ENCARGOS COMPLEMENTARES</t>
  </si>
  <si>
    <t>EXAUSTOR EÓLICO COMERCIAL / INDUSTRIAL, DIAMETRO DE 24" COMPLETO, C/ FRETE - UND</t>
  </si>
  <si>
    <t>SERVENTE COM ENCARGOS COMPLEMENTARES</t>
  </si>
  <si>
    <t>TELHADISTA COM ENCARGOS COMPLEMENTARES</t>
  </si>
  <si>
    <t>VÁLVULA EM PLÁSTICO 1 PARA PIA, TANQUE OU LAVATÓRIO, COM OU SEM LADRÃO - FORNECIMENTO E INSTALAÇÃO. AF_01/2020</t>
  </si>
  <si>
    <t>SIFÃO DO TIPO FLEXÍVEL EM PVC 1 X 1.1/2 - FORNECIMENTO E INSTALAÇÃO. AF_01/2020</t>
  </si>
  <si>
    <t>ENGATE FLEXÍVEL EM PLÁSTICO BRANCO, 1/2 X 30CM - FORNECIMENTO E INSTALAÇÃO. AF_01/2020</t>
  </si>
  <si>
    <t>Lavatório De Canto Izy Branco Deca - Fornecimento c/ frete e instalação</t>
  </si>
  <si>
    <t>Torneira de bancada manual PCD com alavanca - Fornecimento c/ frete e instalação</t>
  </si>
  <si>
    <t>AJUDANTE ESPECIALIZADO COM ENCARGOS COMPLEMENTARES</t>
  </si>
  <si>
    <t>IMPERMEABILIZADOR COM ENCARGOS COMPLEMENTARES</t>
  </si>
  <si>
    <t>DISJUNTOR MONOPOLAR TIPO DIN, CORRENTE NOMINAL DE 10A - FORNECIMENTO E INSTALAÇÃO. AF_10/2020</t>
  </si>
  <si>
    <t>DISJUNTOR MONOPOLAR TIPO DIN, CORRENTE NOMINAL DE 16A - FORNECIMENTO E INSTALAÇÃO. AF_10/2020</t>
  </si>
  <si>
    <t>DISJUNTOR MONOPOLAR TIPO DIN, CORRENTE NOMINAL DE 20A - FORNECIMENTO E INSTALAÇÃO. AF_10/2020</t>
  </si>
  <si>
    <t>DISJUNTOR MONOPOLAR TIPO DIN, CORRENTE NOMINAL DE 32A - FORNECIMENTO E INSTALAÇÃO. AF_10/2020</t>
  </si>
  <si>
    <t>DISJUNTOR TRIPOLAR TIPO DIN, CORRENTE NOMINAL DE 50A - FORNECIMENTO E INSTALAÇÃO. AF_10/2020</t>
  </si>
  <si>
    <t>COMPOSIÇÃO 11</t>
  </si>
  <si>
    <t>PREVENTIVO DE INCÊNDIO</t>
  </si>
  <si>
    <t>PLACA DE SAÍDA EMERGÊNCIA AUTÔNOMA 1 FACE BLUMENAU ILUMINAÇÃO 25X16</t>
  </si>
  <si>
    <t>M2</t>
  </si>
  <si>
    <t>KIT2PCS-GRADE VENTILAÇÃO REDONDA PLÁSTIC 150MM BRANCA C/TELA</t>
  </si>
  <si>
    <t>Administração Central</t>
  </si>
  <si>
    <t>Despesas Financeiras</t>
  </si>
  <si>
    <t>Lucro</t>
  </si>
  <si>
    <t>ISS</t>
  </si>
  <si>
    <t>CPRB</t>
  </si>
  <si>
    <t xml:space="preserve"> OK</t>
  </si>
  <si>
    <t>FUNDO SELADOR ACRÍLICO, APLICAÇÃO MANUAL EM PAREDE, UMA DEMÃO. AF_04/2023</t>
  </si>
  <si>
    <t>PINTURA LÁTEX ACRÍLICA PREMIUM, APLICAÇÃO MANUAL EM PAREDES, DUAS DEMÃOS. AF_04/2023</t>
  </si>
  <si>
    <t>88488</t>
  </si>
  <si>
    <t>PINTURA LÁTEX ACRÍLICA PREMIUM, APLICAÇÃO MANUAL EM TETO, DUAS DEMÃOS. AF_04/2023</t>
  </si>
  <si>
    <t>9.0.1</t>
  </si>
  <si>
    <t>LIMPEZA DE SUPERFÍCIE COM JATO DE ALTA PRESSÃO. AF_04/2019</t>
  </si>
  <si>
    <t>Lavação de piso, paredes e teto</t>
  </si>
  <si>
    <t>Lixamento e pintura da estrutura de fechamento do bar em madeira</t>
  </si>
  <si>
    <t>PINTURA TINTA DE ACABAMENTO (PIGMENTADA) A ÓLEO EM MADEIRA, 3 DEMÃOS. AF_01/2021</t>
  </si>
  <si>
    <t>9.7.1</t>
  </si>
  <si>
    <t>9.7.2</t>
  </si>
  <si>
    <t>PINTURA DE PISO COM TINTA ACRÍLICA, APLICAÇÃO MANUAL, 3 DEMÃOS, INCLUSO FUNDO PREPARADOR. AF_05/2021</t>
  </si>
  <si>
    <t>4.3.2</t>
  </si>
  <si>
    <t>Meio fio e mureta para finalização de vaga e área de manobra;</t>
  </si>
  <si>
    <t>9.6.2</t>
  </si>
  <si>
    <t>SUPORTE MÃO FRANCESA EM AÇO, ABAS IGUAIS 30 CM, CAPACIDADE MINIMA 60 KG, BRANCO - FORNECIMENTO E INSTALAÇÃO. AF_01/2020</t>
  </si>
  <si>
    <t>5.5.2</t>
  </si>
  <si>
    <t>CONTRAPISO EM ARGAMASSA TRAÇO 1:4 (CIMENTO E AREIA), PREPARO MANUAL, APLICADO EM ÁREAS MOLHADAS SOBRE IMPERMEABILIZAÇÃO, ACABAMENTO NÃO REFORÇADO, ESPESSURA 3CM. AF_07/2021</t>
  </si>
  <si>
    <t>COMPOSIÇÃO BASE 87250</t>
  </si>
  <si>
    <t>REVESTIMENTO CERÂMICO PARA PISO COM PLACAS TIPO ESMALTADA EXTRA DE DIMENSÕES 45X45 CM APLICADA COM AC II, EM AMBIENTES DE ÁREA ENTRE 5 M2 E 10 M2. AF_02/2023_PE</t>
  </si>
  <si>
    <t>5.0.1</t>
  </si>
  <si>
    <t>6.0.1</t>
  </si>
  <si>
    <t>7.0.1</t>
  </si>
  <si>
    <t>8.0.1</t>
  </si>
  <si>
    <t>10.0.1</t>
  </si>
  <si>
    <t>11.0.1</t>
  </si>
  <si>
    <t>12.0.1</t>
  </si>
  <si>
    <t>6.5.2</t>
  </si>
  <si>
    <t>7.5.2</t>
  </si>
  <si>
    <t>Contrapiso e revestimento cerâmico PEI &gt;= 4, assentado com argamassa AC II e rejunte cimentício (piso interno);</t>
  </si>
  <si>
    <t>8.4.2</t>
  </si>
  <si>
    <t>9.2.2</t>
  </si>
  <si>
    <t>RODAPÉ CERÂMICO DE 7CM DE ALTURA COM PLACAS TIPO ESMALTADA EXTRA DE DIMENSÕES 45X45CM. AF_02/2023</t>
  </si>
  <si>
    <t>10.1.2</t>
  </si>
  <si>
    <t>Rodapé cerâmico, h=7cm, assentado com argamassa AC I e rejunte cimentício (corte da peça do piso);</t>
  </si>
  <si>
    <t>11.5.2</t>
  </si>
  <si>
    <t>10.3.2</t>
  </si>
  <si>
    <t>10.4.2</t>
  </si>
  <si>
    <t>kg</t>
  </si>
  <si>
    <t>PINTURA COM TINTA ALQUÍDICA DE FUNDO (TIPO ZARCÃO) PULVERIZADA SOBRE PERFIL METÁLICO EXECUTADO EM FÁBRICA (POR DEMÃO). AF_01/2020_PE</t>
  </si>
  <si>
    <t>PINTURA COM TINTA ALQUÍDICA DE ACABAMENTO (ESMALTE SINTÉTICO ACETINADO) PULVERIZADA SOBRE PERFIL METÁLICO EXECUTADO EM FÁBRICA (POR DEMÃO). AF_01/2020_PE</t>
  </si>
  <si>
    <t>Viga metálica sobre a porta principal, suporte para porta e janela, fixada aos pilares com parafusos parabolt, com pintura de fundo (uma demão) e acabamento (duas demãos)</t>
  </si>
  <si>
    <t>BASE COMPOSIÇÃO 04</t>
  </si>
  <si>
    <t>10.5.2</t>
  </si>
  <si>
    <t>Guarda corpo em aço inox 304, polido e complemento de 15,0cm com barra tubular Ø40 para completar a mureta até 1,10m de altura</t>
  </si>
  <si>
    <t>BARRA SIMPLES DIÂMETRO EXTERNO = 1 1/2", EM AÇO INOX 304 POLIDO, CONFORME PROJETO, INCLUSO SUPORTES PARA FIXAÇAO;</t>
  </si>
  <si>
    <t>Execução de ralo, contrapiso e revestimento cerâmico PEI &gt;= 4, assentado com argamassa AC II e rejunte cimentício (piso interno);</t>
  </si>
  <si>
    <t>11.5.3</t>
  </si>
  <si>
    <t>RALO SIFONADO, PVC, DN 100 X 40 MM, JUNTA SOLDÁVEL, FORNECIDO E INSTALADO EM RAMAL DE DESCARGA OU EM RAMAL DE ESGOTO SANITÁRIO. AF_08/2022</t>
  </si>
  <si>
    <t>11.2.2</t>
  </si>
  <si>
    <t>12.0.2</t>
  </si>
  <si>
    <t>LIMPEZA MANUAL DE VEGETAÇÃO COM ENXADA. AF_03/2024</t>
  </si>
  <si>
    <t>SICRO 5213863</t>
  </si>
  <si>
    <t>Suporte metálico galvanizado para placa de advertência ou regulamentação - lado ou diâmetro de 0,60 m - fornecimento e
implantação</t>
  </si>
  <si>
    <t>Placa de regulamentação em aço, R2 lado 0,60 m - película retrorrefletiva tipo I + SI - fornecimento e implantação</t>
  </si>
  <si>
    <t>SICRO 5213448</t>
  </si>
  <si>
    <t>13.7.2</t>
  </si>
  <si>
    <t>4.1.4</t>
  </si>
  <si>
    <t>4.1.5</t>
  </si>
  <si>
    <t>Vaga de estacionamento PCD com lastro de brita h=10cm, caixa de areia/pó de pedra e pavimentação em paver, incluso pintura de sinalização, suporte e placa de identificação de vaga de cadeirante.</t>
  </si>
  <si>
    <t>14.5.1</t>
  </si>
  <si>
    <t>REPARAÇÃO DE CONSOLE / MISULA DE APOIO DA TESOURA - REMOÇÃO DO CONCRETO FRAGMENTADO, ESCOVAÇÃO DA ARMADURA, APLICAÇÃO DE FUNDO CONVERTEDOR DE FERRUGEM, REESTRUTURAÇÃO COM ARGAMASSA DE CONCRETO TIPO GROUT;</t>
  </si>
  <si>
    <t xml:space="preserve">COMP. </t>
  </si>
  <si>
    <t>VIGA METÁLICA EM PERFIL LAMINADO OU SOLDADO EM AÇO ESTRUTURAL, COM CONEXÕES SOLDADAS, INCLUSOS MÃO DE OBRA, TRANSPORTE E IÇAMENTO UTILIZANDO GUINDASTE - FORNECIMENTO E INSTALAÇÃO. AF_01/2020_PA</t>
  </si>
  <si>
    <t xml:space="preserve">PARAFUSO DE ACO ZINCADO, TIPO CHUMBADOR PARABOLT, DIAMETRO 1/2", COMPRIMENTO 75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</si>
  <si>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PEDREIRO COM ENCARGOS COMPLEMENTARES</t>
  </si>
  <si>
    <t xml:space="preserve">LOCACAO DE ANDAIME METALICO TUBULAR DE ENCAIXE, TIPO DE TORRE, CADA PAINEL COM LARGURA DE 1 ATE 1,5 M E ALTURA DE *1,00* M, INCLUINDO DIAGONAL, BARRAS DE LIGACAO, SAPATAS OU RODIZIOS E DEMAIS ITENS NECESSARIOS A MONTAGEM (NAO INCLUI INSTALACAO)                                                                                                                                                                                                                                                      </t>
  </si>
  <si>
    <t>MXMES</t>
  </si>
  <si>
    <t>10.0.2</t>
  </si>
  <si>
    <t>Lavação de piso, paredes e teto.</t>
  </si>
  <si>
    <t>mxmês</t>
  </si>
  <si>
    <t>10.0.3</t>
  </si>
  <si>
    <t>MONTAGEM E DESMONTAGEM DE ANDAIME TUBULAR TIPO "TORRE" (EXCLUSIVE ANDAIME E LIMPEZA). AF_03/2024</t>
  </si>
  <si>
    <t>COMPOSIÇÃO 12</t>
  </si>
  <si>
    <t>11.0.2</t>
  </si>
  <si>
    <t>11.0.3</t>
  </si>
  <si>
    <t xml:space="preserve">CHUMBADOR DE ACO TIPO PARABOLT, * 5/8" X 200* MM,  COM PORCA E ARRUELA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</si>
  <si>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12.0.3</t>
  </si>
  <si>
    <t>7.3.5</t>
  </si>
  <si>
    <t>DEMOLIÇÃO DE ARGAMASSAS, DE FORMA MANUAL, SEM REAPROVEITAMENTO. AF_09/2023</t>
  </si>
  <si>
    <t>CHAPISCO APLICADO EM ALVENARIA (COM PRESENÇA DE VÃOS) E ESTRUTURAS DE CONCRETO DE FACHADA, COM COLHER DE PEDREIRO.  ARGAMASSA TRAÇO 1:3 COM PREPARO EM BETONEIRA 400L. AF_10/2022</t>
  </si>
  <si>
    <t>7.2.2</t>
  </si>
  <si>
    <t>7.2.3</t>
  </si>
  <si>
    <t>BASE 93204</t>
  </si>
  <si>
    <t>REQUADRO DE DEGRAU IN LOCO EM CONCRETO. AF_03/2016</t>
  </si>
  <si>
    <t>REBOCO EM ARGAMASSA TRAÇO 1:2:8, PREPARO MECÂNICA COM BETONEIRA 400 L, APLICADO MANUALMENTE, ESPESSURA DE 35 MM, COM TELA DE REFORÇO, FIO 1,24MM, MALHA 10 X 10. AF_08/2022</t>
  </si>
  <si>
    <t>Remoção do reboco danificado, execução de chapisco e novo reboco com emprego de tela/malha, aplicação de fundo e pintura na parede da churrasqueira;</t>
  </si>
  <si>
    <t>7.6.2</t>
  </si>
  <si>
    <t>8.5.2</t>
  </si>
  <si>
    <t>88309</t>
  </si>
  <si>
    <t>43465</t>
  </si>
  <si>
    <t>88316</t>
  </si>
  <si>
    <t>37595</t>
  </si>
  <si>
    <t xml:space="preserve">FERRAMENTAS - FAMILIA PEDREIRO - HORISTA (ENCARGOS COMPLEMENTARES - COLETADO CAIXA)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</si>
  <si>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ARGAMASSA COLANTE TIPO AC III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</si>
  <si>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     </t>
  </si>
  <si>
    <t xml:space="preserve">KG    </t>
  </si>
  <si>
    <t>7.6.3</t>
  </si>
  <si>
    <t>7.6.4</t>
  </si>
  <si>
    <t>CHAPISCO APLICADO EM ALVENARIA (SEM PRESENÇA DE VÃOS) E ESTRUTURAS DE CONCRETO DE FACHADA, COM COLHER DE PEDREIRO.  ARGAMASSA TRAÇO 1:3 COM PREPARO EM BETONEIRA 400L. AF_10/2022</t>
  </si>
  <si>
    <t>EMBOÇO, EM ARGAMASSA TRAÇO 1:2:8, PREPARO MECÂNICO, APLICADO MANUALMENTE EM PAREDES INTERNAS DE AMBIENTES COM ÁREA ENTRE 5M² E 10M², E = 17,5MM, COM TALISCAS. AF_03/2024</t>
  </si>
  <si>
    <t>PREPARAÇÃO DE SUPERFÍCIE PARA RECEBIMENTO DE REVESTIMENTO CERÂMICO, CONTEMPLANDO RASPAGEM DA SUPERFÍCIE COM ROMPEDOR E NIVELAMENTO DE TODA A SUPERFÍCIE COM ARGAMASSA AC-III, FORNECIMENTO DE MATERIAIS E EXECUÇÃO</t>
  </si>
  <si>
    <t>10.8.1</t>
  </si>
  <si>
    <t>PISO PODOTÁTIL DE ALERTA OU DIRECIONAL, DE CONCRETO, ASSENTADO SOBRE ARGAMASSA. AF_03/2024</t>
  </si>
  <si>
    <t>3.1.2</t>
  </si>
  <si>
    <t>Pintura do piso da rampa de acesso PCD (piso rampa)</t>
  </si>
  <si>
    <t>Piso podotátil (alerta e direcional) 25x25cm cimenticio, e=2,5cm,  assentado com argamassa AC III e rejute de pasta de cimento; (escada de acesso, patamares e rampa de acesso)</t>
  </si>
  <si>
    <t>3.1.3</t>
  </si>
  <si>
    <t>Revestimento cerâmico PEI &gt;= 4, assentado com argamassa AC II e rejunte cimentício (área de pisada, espelho e patamares);</t>
  </si>
  <si>
    <t>Contrapiso área externa (escadas e patamar existente)</t>
  </si>
  <si>
    <t>Piso de concreto armado</t>
  </si>
  <si>
    <t>ARMAÇÃO DE CORTINA DE CONTENÇÃO EM CONCRETO ARMADO, COM AÇO CA-50 DE 10 MM - MONTAGEM. AF_07/2019</t>
  </si>
  <si>
    <t>Preparação da superfície para recebimento do revestimento cerâmico (raspagem e nivelamento com AC III quando reboco acabado com pintura / raspagem, chapisco e reboco novo quando parede de tijolo a vista com pintura)</t>
  </si>
  <si>
    <t>7.9.2</t>
  </si>
  <si>
    <t>7.9.3</t>
  </si>
  <si>
    <t>ALVENARIA DE VEDAÇÃO DE BLOCOS CERÂMICOS FURADOS NA HORIZONTAL DE 11,5X19X19 CM (ESPESSURA 11,5 CM) E ARGAMASSA DE ASSENTAMENTO COM PREPARO EM BETONEIRA. AF_12/2021</t>
  </si>
  <si>
    <t>7.9.4</t>
  </si>
  <si>
    <t>EMBOÇO OU MASSA ÚNICA EM ARGAMASSA TRAÇO 1:2:8, PREPARO MANUAL, APLICADA MANUALMENTE, ESPESSURA DE 25 MM. AF_09/2022</t>
  </si>
  <si>
    <t>BASE 90796</t>
  </si>
  <si>
    <t>Parede em divisória leve, colocada sobre piso, h=2,40m, com vão para 01 porta de giro, inclusive porta - sala de depósito;</t>
  </si>
  <si>
    <t>10.5.3</t>
  </si>
  <si>
    <t>87289</t>
  </si>
  <si>
    <t>ARGAMASSA TRAÇO 1:1,5:7,5 (EM VOLUME DE CIMENTO, CAL E AREIA MÉDIA ÚMIDA) PARA EMBOÇO/MASSA ÚNICA/ASSENTAMENTO DE ALVENARIA DE VEDAÇÃO, PREPARO MECÂNICO COM BETONEIRA 400 L. AF_08/2019</t>
  </si>
  <si>
    <t>M3</t>
  </si>
  <si>
    <t>REQUADRO DE CORTE EM ALVENARIA, MATERIAIS E MÃO DE OBRA</t>
  </si>
  <si>
    <t>10.4.3</t>
  </si>
  <si>
    <t>10.4.4</t>
  </si>
  <si>
    <t>10.4.5</t>
  </si>
  <si>
    <t>10.4.6</t>
  </si>
  <si>
    <t>COMPOSIÇÃO 13</t>
  </si>
  <si>
    <t>6110</t>
  </si>
  <si>
    <t xml:space="preserve">SERRALHEIRO (HORISTA)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</si>
  <si>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34360</t>
  </si>
  <si>
    <t xml:space="preserve">PERFIL DE ALUMINIO ANODIZADO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</si>
  <si>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252</t>
  </si>
  <si>
    <t xml:space="preserve">AJUDANTE DE SERRALHEIRO (HORISTA)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</si>
  <si>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cj</t>
  </si>
  <si>
    <t xml:space="preserve">FECHADURA PARA PORTA EXTERNA, EM ACO INOX (MAQUINA, TESTA E CONTRA-TESTA) E EM ZAMAC (MACANETA, LINGUETA E TRINCOS) COM ACABAMENTO CROMADO, MAQUINA DE 55 MM, INCLUINDO CHAVE TIPO CILINDRO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</si>
  <si>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Lavação de piso, paredes, janelas (interno e externo) e teto</t>
  </si>
  <si>
    <t>12.2.3</t>
  </si>
  <si>
    <t>LIXAMENTO MANUAL EM SUPERFÍCIES EM OBRA. AF_01/2020</t>
  </si>
  <si>
    <t xml:space="preserve">M2    </t>
  </si>
  <si>
    <t xml:space="preserve">M     </t>
  </si>
  <si>
    <t>BASE 88485</t>
  </si>
  <si>
    <t>FUNDO PREPARADOR ACRÍLICO, APLICAÇÃO MANUAL EM PAREDE, UMA DEMÃO. AF_04/2023</t>
  </si>
  <si>
    <t>Pintura com fundo preparador e tinta acrílica do acabamento das muretas de concreto, pilares e vigas aparentes</t>
  </si>
  <si>
    <t>LIXAMENTO MANUAL DE SUPERFÍCIES EM OBRA. AF_01/2020</t>
  </si>
  <si>
    <t>12.4.2</t>
  </si>
  <si>
    <t>102193</t>
  </si>
  <si>
    <t>LIXAMENTO DE MADEIRA PARA APLICAÇÃO DE FUNDO OU PINTURA. AF_01/2021</t>
  </si>
  <si>
    <t>BASE 102227</t>
  </si>
  <si>
    <t>PINTURA COM VERNIZ A ÓLEO EM MADEIRA, 3 DEMÃOS. AF_01/2021</t>
  </si>
  <si>
    <t>14.6.1</t>
  </si>
  <si>
    <t>7167</t>
  </si>
  <si>
    <t xml:space="preserve">TELA DE ARAME GALVANIZADA QUADRANGULAR / LOSANGULAR, FIO 2,11 MM (14 BWG), MALHA 5 X 5 CM, H = 2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</si>
  <si>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88315</t>
  </si>
  <si>
    <t>SERRALHEIRO COM ENCARGOS COMPLEMENTARES</t>
  </si>
  <si>
    <t>43468</t>
  </si>
  <si>
    <t xml:space="preserve">FERRAMENTAS - FAMILIA SOLDADOR - HORISTA (ENCARGOS COMPLEMENTARES - COLETADO CAIXA)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</si>
  <si>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ESTRUTURA COM PERFIS DE ALUMÍNIO E TELA DE ARAME, FORNECIMENTO E INSTALAÇÃO, PARA FECHAMENDO DO VÃO ENTRE AS VIGAS SUPERIORES E A COBERTURA</t>
  </si>
  <si>
    <t>COMPOSIÇÃO 14</t>
  </si>
  <si>
    <t>Fechamento do vão entre vigas superiores e cobertura com tela para impedimento da entrada de pássaros na edificação</t>
  </si>
  <si>
    <t xml:space="preserve">PERFIL TIPO CANTONEIRA EM L, EM ACO GALVANIZADO, BRANCO, PARA FORRO REMOVIVEL, *23* X 3000 MM (L X 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</si>
  <si>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EXECUÇÃO DE FURO EM LAJE DE CONCRETO ARMADO (CALHAS), PARA DESCIDA DE ÁGUA PLUVIAL</t>
  </si>
  <si>
    <t>13.5.2</t>
  </si>
  <si>
    <t>COMPOSIÇÃO 15</t>
  </si>
  <si>
    <t>13.5.3</t>
  </si>
  <si>
    <t>TUBO PVC, SÉRIE R, ÁGUA PLUVIAL, DN 100 MM, FORNECIDO E INSTALADO EM CONDUTORES VERTICAIS DE ÁGUAS PLUVIAIS. AF_06/2022</t>
  </si>
  <si>
    <t>13.5.4</t>
  </si>
  <si>
    <t>Descidas de água pluvial</t>
  </si>
  <si>
    <t>FIXAÇÃO DE TUBOS VERTICAIS DE PVC ÁGUA, PVC ESGOTO, PVC ÁGUA PLUVIAL, CPVC, PPR, COBRE OU AÇO, DIÂMETROS MAIORES QUE 75 MM E MENORES OU IGUAIS A 100 MM, COM ABRAÇADEIRA METÁLICA RÍGIDA TIPO U PERFIL 4", FIXADA EM PERFILADO EM PAREDE. AF_09/2023_PS</t>
  </si>
  <si>
    <t>1.11.2</t>
  </si>
  <si>
    <t>BASE 96525</t>
  </si>
  <si>
    <t>Limpeza de faixa de terreno nos fundos, remoção de camada vegetal densa e entulhos;</t>
  </si>
  <si>
    <t>LIMPEZA MECANIZADA COM MINI-ESCAVADEIRA . AF_01/2024</t>
  </si>
  <si>
    <t>VASO SANITARIO SIFONADO PARA PCD SEM FURO FRONTAL COM LOUÇA BRANCA SEM ASSENTO, INCLUSO CONJUNTO DE LIGAÇÃO PARA BACIA SANITÁRIA AJUSTÁVEL - FORNECIMENTO E INSTALAÇÃO. AF_01/2020</t>
  </si>
  <si>
    <t>DEINFRA 42581</t>
  </si>
  <si>
    <t>1.12.1</t>
  </si>
  <si>
    <t>13.9.1</t>
  </si>
  <si>
    <t>13.9.2</t>
  </si>
  <si>
    <t>Carga, transporte e descarte do material em aterro sanitário</t>
  </si>
  <si>
    <t>EXECUÇÃO DE PISO DE CONCRETO ARMADO, FCK = 25 MPA, ESPESSURA DE 12,0 CM. AF_04/2022</t>
  </si>
  <si>
    <t>3.4.2</t>
  </si>
  <si>
    <t>BASE 98671</t>
  </si>
  <si>
    <t>GRANITO APLICADO EM AMBIENTES INTERNOS. AF_09/2020</t>
  </si>
  <si>
    <t>BASE 96359</t>
  </si>
  <si>
    <t>PORTA-PRONTA EM DIVISÓRIA LEVE, BATENTE METÁLICO, 80X210CM, FORNECIMENTO  E INSTALAÇÃO</t>
  </si>
  <si>
    <t>Lixamento e pintura com verniz (3 demãos) das tábuas da pista do bolão</t>
  </si>
  <si>
    <t>REFORÇO DE CONSOLE COM VIGA U 6'', E=5,08mm, COMPRIMENTO 1,50M, METÁLICA, FIXADA NA VIGA DE CONCRETO COM PARAFUSOS PARABOLT</t>
  </si>
  <si>
    <t>Reforço de console com viga metálica U 6'' e=5,08mm, c=1,50m, fixado na viga de concreto com parafusos parabolt</t>
  </si>
  <si>
    <t>REFORÇO DE CONSOLE EM VIGA U 6'', E=5,08mm, COMPRIMENTO 1,50M, METÁLICA, FIXADA NA VIGA DE CONCRETO COM PARAFUSOS PARABOLT</t>
  </si>
  <si>
    <t xml:space="preserve">MANTA LIQUIDA DE BASE ASFALTICA MODIFICADA COM A ADICAO DE ELASTOMEROS DILUIDOS EM SOLVENTE ORGANICO, APLICACAO A FRIO (MEMBRANA IMPERMEABILIZANTE ASFASTICA)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</si>
  <si>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IMPERMEABILIZAÇÃO DE SUPERFÍCIE COM EMULSÃO ASFÁLTICA, 2 DEMÃOS. AF_09/2023</t>
  </si>
  <si>
    <t>EXECUÇÃO DE "SINTÉTICO" PARA CANCHA DE BOCHA, CONTEMPLANDO IMPERMEABILIZAÇÃO COM EMULSÃO ASFÁLTICA, 4 DEMÃOS CRUZADAS, CAMADA DE REVESTIMENTO ASFÁLTICO LÍQUIDO, ESPESSURA 1,5cm E CAMADA DUAS CAMADAS DE EMBORRACHADO COM APLICAÇÃO DE TELA DE NYLON, CONFORME MEMORIAL DESCRITIVO ANEXO</t>
  </si>
  <si>
    <t>DRENO (SEÇÃO 0,50 X 0,80 M), COM TUBO DE PEAD CORRUGADO PERFURADO, DN 100 MM, ENCHIMENTO COM BRITA, ENVOLVIDO COM MANTA GEOTÊXTIL, INCLUSIVE CONEXÕES. AF_07/2021</t>
  </si>
  <si>
    <t>96527</t>
  </si>
  <si>
    <t>ESCAVAÇÃO MANUAL PARA VIGA BALDRAME OU SAPATA CORRIDA (INCLUINDO ESCAVAÇÃO PARA COLOCAÇÃO DE FÔRMAS). AF_01/2024</t>
  </si>
  <si>
    <t>96536</t>
  </si>
  <si>
    <t>104918</t>
  </si>
  <si>
    <t>ARMAÇÃO DE SAPATA ISOLADA, VIGA BALDRAME E SAPATA CORRIDA UTILIZANDO AÇO CA-50 DE 8 MM - MONTAGEM. AF_01/2024</t>
  </si>
  <si>
    <t>96557</t>
  </si>
  <si>
    <t>CONCRETAGEM DE BLOCO DE COROAMENTO OU VIGA BALDRAME, FCK 30 MPA, COM USO DE BOMBA - LANÇAMENTO, ADENSAMENTO E ACABAMENTO. AF_01/2024</t>
  </si>
  <si>
    <t>103318</t>
  </si>
  <si>
    <t>ALVENARIA DE VEDAÇÃO DE BLOCOS VAZADOS DE CONCRETO DE 14X19X39 CM (ESPESSURA 14 CM)  E ARGAMASSA DE ASSENTAMENTO COM PREPARO EM BETONEIRA. AF_12/2021</t>
  </si>
  <si>
    <t>87879</t>
  </si>
  <si>
    <t>CHAPISCO APLICADO EM ALVENARIAS E ESTRUTURAS DE CONCRETO INTERNAS, COM COLHER DE PEDREIRO.  ARGAMASSA TRAÇO 1:3 COM PREPARO EM BETONEIRA 400L. AF_10/2022</t>
  </si>
  <si>
    <t>87529</t>
  </si>
  <si>
    <t>MASSA ÚNICA, EM ARGAMASSA TRAÇO 1:2:8, PREPARO MECÂNICO, APLICADA MANUALMENTE EM PAREDES INTERNAS DE AMBIENTES COM ÁREA ENTRE 5M² E 10M², E = 17,5MM, COM TALISCAS. AF_03/2024</t>
  </si>
  <si>
    <t>FABRICAÇÃO, MONTAGEM E DESMONTAGEM DE FÔRMA PARA VIGA, EM MADEIRA SERRADA, E=25 MM, 4 UTILIZAÇÕES. AF_01/2024</t>
  </si>
  <si>
    <t>EXECUÇÃO E COMPACTAÇÃO DE BASE DE BRITA GRADUADA SIMPLES - EXCLUSIVE CARGA E TRANSPORTE. AF_11/2019</t>
  </si>
  <si>
    <t>95875</t>
  </si>
  <si>
    <t>TRANSPORTE COM CAMINHÃO BASCULANTE DE 10 M³, EM VIA URBANA PAVIMENTADA, DMT ATÉ 30 KM (UNIDADE: M3XKM). AF_07/2020</t>
  </si>
  <si>
    <t>m³xkm</t>
  </si>
  <si>
    <t>2.3.2</t>
  </si>
  <si>
    <t>2.3.3</t>
  </si>
  <si>
    <t>2.3.4</t>
  </si>
  <si>
    <t>2.3.5</t>
  </si>
  <si>
    <t>2.6.1</t>
  </si>
  <si>
    <t>2.6.2</t>
  </si>
  <si>
    <t>2.6.3</t>
  </si>
  <si>
    <t>Pintura acrilica (fundo mais 02 demãos de tinta de acabamento) na face interna das cortinas e muro, para rampa de acesso PCD;</t>
  </si>
  <si>
    <r>
      <t>Viga baldrame e cintas nas porções do muro a ser executado com alvenaria de blocos de concreto, de concreto armado, fck 30 MPa, taxa de aço de ~75kg/m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, para rampa de acesso PDC;</t>
    </r>
  </si>
  <si>
    <t>2.9.2</t>
  </si>
  <si>
    <t>99814</t>
  </si>
  <si>
    <t>4.1.6</t>
  </si>
  <si>
    <t>EXECUÇÃO E COMPACTAÇÃO DE BASE E OU SUB BASE DE BRITA GRADUADA SIMPLES - EXCLUSIVE CARGA E TRANSPORTE. AF_11/2019</t>
  </si>
  <si>
    <t>EXECUÇÃO DE MURETA GUIA PARA CONTENÇÃO/ FUNDAÇÃO COM 20 CM DE ESPESSURA. AF_06/2018</t>
  </si>
  <si>
    <t>BASE 98655</t>
  </si>
  <si>
    <t>Reparação pontual de piso em concreto armado, fck 20MPa, h=8cm, malha simples, acabamento tipo desempeno fino - para revestimento cerâmico;</t>
  </si>
  <si>
    <t>Instalações de esgoto sanitário em tubo de PVC DN Ø50mm e Ø100mm (tubos e conexões);</t>
  </si>
  <si>
    <t>Reparação pontual de piso em concreto armado, fck 20MPa, h=8cm, malha simples, acabamento tipo desempeno fino - para revestimento cerâmico, além de degrau;</t>
  </si>
  <si>
    <t>Instalações de esgoto sanitário em tubo de PVC DN Ø50mm (tubos e conexões);</t>
  </si>
  <si>
    <t>COTAÇÃO</t>
  </si>
  <si>
    <t>Pintura com fundo preparador e tinta acrílica no acabamento de concreto da mureta, das bordas, pilares e viga de concreto</t>
  </si>
  <si>
    <t>Preparação da superfície e pintura com tinta à óleo das calhas do bolão, do painel e demais detalhes de madeira do bolão (exceto pista);</t>
  </si>
  <si>
    <t>BASE 88489</t>
  </si>
  <si>
    <t>PINTURA LÁTEX ACRÍLICA PREMIUM, APLICAÇÃO MANUAL EM PAREDES, TRÊS DEMÃOS. AF_04/2023</t>
  </si>
  <si>
    <t>Pintura dos pilares, vigas e detalhes de concreto aparentes;</t>
  </si>
  <si>
    <t>BASE 87273</t>
  </si>
  <si>
    <t>REVESTIMENTO CERÂMICO PARA PAREDES INTERNAS COM PLACAS TIPO ESMALTADA EXTRA  DE DIMENSÕES 33X45 CM APLICADAS NA ALTURA INTEIRA DAS PAREDES COM AC II. AF_02/2023_PE</t>
  </si>
  <si>
    <t>Revestimento cerâmico PEI &gt;= 3, assentado com argamassa AC II e rejunte cimentício (paredes internas);</t>
  </si>
  <si>
    <t>Portas de giro em aluminio tipo veneziana, 1 folha;</t>
  </si>
  <si>
    <t>8.7.2</t>
  </si>
  <si>
    <t>94570</t>
  </si>
  <si>
    <t>JANELA DE ALUMÍNIO DE CORRER COM 2 FOLHAS PARA VIDROS, COM VIDROS, BATENTE, ACABAMENTO COM ACETATO OU BRILHANTE E FERRAGENS. EXCLUSIVE ALIZAR E CONTRAMARCO. FORNECIMENTO E INSTALAÇÃO. AF_12/2019</t>
  </si>
  <si>
    <t>Substituição da janela existente;</t>
  </si>
  <si>
    <t>Execução de chapisco e reboco único - paredes internas e mureta da bancada (interna e externa);</t>
  </si>
  <si>
    <t>Adequação da altura da porta ao novo nível do piso, incluso corte, emendas e acabamento com perfis de alumínio conforme material existente, inclusive substituição da fechadura</t>
  </si>
  <si>
    <t>Impermeabilização de telhado com manta asfaltica aluminzada (toda cobertura da parte inferior, inclusive churrasqueira, área de apoio e depósito);</t>
  </si>
  <si>
    <t>Limpeza de faixa de terreno nos fundos da parte superior do ginásio (ao fundo da quadra de esportes), remoção de camada vegetal densa e rebaixamento do nível do solo em pelo menos 0,5 ~ 1,0 metro.</t>
  </si>
  <si>
    <t>FAIXA SINALIZAÇÃO DEGRAUS FOTOLUMINESCENTE 7X3CM</t>
  </si>
  <si>
    <t>Sinalização de degrau conforme NBR 9050, espelho e pisada</t>
  </si>
  <si>
    <t>3.8.1</t>
  </si>
  <si>
    <t>10.9.1</t>
  </si>
  <si>
    <t>10.9.2</t>
  </si>
  <si>
    <t>10.10.1</t>
  </si>
  <si>
    <t>10.10.2</t>
  </si>
  <si>
    <t>10.10.3</t>
  </si>
  <si>
    <t>Execução de chapisco e reboco único - paredes circulação bwc's</t>
  </si>
  <si>
    <t>Pintura das paredes rebocadas e laje - circulação bwc's</t>
  </si>
  <si>
    <t>91338</t>
  </si>
  <si>
    <t>PORTA DE ALUMÍNIO DE ABRIR COM LAMBRI, COM GUARNIÇÃO, FIXAÇÃO COM PARAFUSOS - FORNECIMENTO E INSTALAÇÃO. AF_12/2019</t>
  </si>
  <si>
    <t>Porta 0,70 x 2,10m, de abrir.</t>
  </si>
  <si>
    <t>13.9.3</t>
  </si>
  <si>
    <t>13.9.4</t>
  </si>
  <si>
    <t>13.9.5</t>
  </si>
  <si>
    <t>13.9.6</t>
  </si>
  <si>
    <t>13.9.7</t>
  </si>
  <si>
    <t>101963</t>
  </si>
  <si>
    <t>LAJE PRÉ-MOLDADA UNIDIRECIONAL, BIAPOIADA, PARA PISO, ENCHIMENTO EM CERÂMICA, VIGOTA CONVENCIONAL, ALTURA TOTAL DA LAJE (ENCHIMENTO+CAPA) = (8+4). AF_11/2020_PA</t>
  </si>
  <si>
    <t>102609</t>
  </si>
  <si>
    <t>CAIXA D´ÁGUA EM POLIETILENO, 2000 LITROS - FORNECIMENTO E INSTALAÇÃO. AF_06/2021</t>
  </si>
  <si>
    <t>94489</t>
  </si>
  <si>
    <t>REGISTRO DE ESFERA, PVC, SOLDÁVEL, COM VOLANTE, DN  25 MM - FORNECIMENTO E INSTALAÇÃO. AF_08/2021</t>
  </si>
  <si>
    <t>94490</t>
  </si>
  <si>
    <t>REGISTRO DE ESFERA, PVC, SOLDÁVEL, COM VOLANTE, DN  32 MM - FORNECIMENTO E INSTALAÇÃO. AF_08/2021</t>
  </si>
  <si>
    <t>94703</t>
  </si>
  <si>
    <t>ADAPTADOR COM FLANGE E ANEL DE VEDAÇÃO, PVC, SOLDÁVEL, DN  25 MM X 3/4", INSTALADO EM RESERVAÇÃO PREDIAL DE ÁGUA - FORNECIMENTO E INSTALAÇÃO. AF_04/2024</t>
  </si>
  <si>
    <t>94704</t>
  </si>
  <si>
    <t>ADAPTADOR COM FLANGE E ANEL DE VEDAÇÃO, PVC, SOLDÁVEL, DN 32 MM X 1", INSTALADO EM RESERVAÇÃO PREDIAL DE ÁGUA - FORNECIMENTO E INSTALAÇÃO. AF_04/2024</t>
  </si>
  <si>
    <t>94796</t>
  </si>
  <si>
    <t>TORNEIRA DE BOIA PARA CAIXA D'ÁGUA, ROSCÁVEL, 3/4" - FORNECIMENTO E INSTALAÇÃO. AF_08/2021</t>
  </si>
  <si>
    <t>Substituição dos reservatórios de água existentes, inclusive estrutura para sustentação</t>
  </si>
  <si>
    <t>UN</t>
  </si>
  <si>
    <t>86910</t>
  </si>
  <si>
    <t>TORNEIRA CROMADA TUBO MÓVEL, DE PAREDE, 1/2" OU 3/4", PARA PIA DE COZINHA, PADRÃO MÉDIO - FORNECIMENTO E INSTALAÇÃO. AF_01/2020</t>
  </si>
  <si>
    <t>8.8.4</t>
  </si>
  <si>
    <t>11777</t>
  </si>
  <si>
    <t>TORNEIRA ELETRICA DE PAREDE, PLASTICA, BICA ALTA, PARA COZINHA, 5500 W (110/220 V)</t>
  </si>
  <si>
    <t>COMPOSIÇÃO E01</t>
  </si>
  <si>
    <t>E01</t>
  </si>
  <si>
    <t>ELETROCALHA LISA OU PERFURADA EM AÇO GALVANIZADO, LARGURA 100MM E ALTURA 50MM, INCLUSIVE EMENDA E FIXAÇÃO - FORNECIMENTO E INSTALAÇÃO. AF_04/2023 - BASE 97238</t>
  </si>
  <si>
    <t>E03</t>
  </si>
  <si>
    <t>ELETROCALHA LISA OU PERFURADA EM AÇO GALVANIZADO, LARGURA 75MM E ALTURA 50MM, INCLUSIVE EMENDA E FIXAÇÃO - FORNECIMENTO E INSTALAÇÃO. AF_04/2023 - BASE 97237</t>
  </si>
  <si>
    <t>95726</t>
  </si>
  <si>
    <t>ELETRODUTO RÍGIDO SOLDÁVEL, PVC, DN 20 MM (1/2"), APARENTE - FORNECIMENTO E INSTALAÇÃO. AF_10/2022_PA</t>
  </si>
  <si>
    <t>95727</t>
  </si>
  <si>
    <t>ELETRODUTO RÍGIDO SOLDÁVEL, PVC, DN 25 MM (3/4), APARENTE - FORNECIMENTO E INSTALAÇÃO. AF_10/2022_PA</t>
  </si>
  <si>
    <t>95728</t>
  </si>
  <si>
    <t>ELETRODUTO RÍGIDO SOLDÁVEL, PVC, DN 32 MM (1), APARENTE - FORNECIMENTO E INSTALAÇÃO. AF_10/2022_PA</t>
  </si>
  <si>
    <t>95814</t>
  </si>
  <si>
    <t>CONDULETE DE PVC, TIPO TB, PARA ELETRODUTO DE PVC SOLDÁVEL, APARENTE - FORNECIMENTO E INSTALAÇÃO. AF_10/2022</t>
  </si>
  <si>
    <t>91855</t>
  </si>
  <si>
    <t>ELETRODUTO FLEXÍVEL CORRUGADO REFORÇADO, PVC, DN 25 MM (3/4"), PARA CIRCUITOS TERMINAIS, INSTALADO EM PAREDE - FORNECIMENTO E INSTALAÇÃO. AF_03/2023</t>
  </si>
  <si>
    <t>91924</t>
  </si>
  <si>
    <t>CABO DE COBRE FLEXÍVEL ISOLADO, 1,5 MM², ANTI-CHAMA 450/750 V, PARA CIRCUITOS TERMINAIS - FORNECIMENTO E INSTALAÇÃO. AF_03/2023</t>
  </si>
  <si>
    <t>91926</t>
  </si>
  <si>
    <t>CABO DE COBRE FLEXÍVEL ISOLADO, 2,5 MM², ANTI-CHAMA 450/750 V, PARA CIRCUITOS TERMINAIS - FORNECIMENTO E INSTALAÇÃO. AF_03/2023</t>
  </si>
  <si>
    <t>91928</t>
  </si>
  <si>
    <t>CABO DE COBRE FLEXÍVEL ISOLADO, 4 MM², ANTI-CHAMA 450/750 V, PARA CIRCUITOS TERMINAIS - FORNECIMENTO E INSTALAÇÃO. AF_03/2023</t>
  </si>
  <si>
    <t>91930</t>
  </si>
  <si>
    <t>CABO DE COBRE FLEXÍVEL ISOLADO, 6 MM², ANTI-CHAMA 450/750 V, PARA CIRCUITOS TERMINAIS - FORNECIMENTO E INSTALAÇÃO. AF_03/2023</t>
  </si>
  <si>
    <t>92979</t>
  </si>
  <si>
    <t>CABO DE COBRE FLEXÍVEL ISOLADO, 10 MM², ANTI-CHAMA 450/750 V, PARA DISTRIBUIÇÃO - FORNECIMENTO E INSTALAÇÃO. AF_10/2020</t>
  </si>
  <si>
    <t>91939</t>
  </si>
  <si>
    <t>CAIXA RETANGULAR 4" X 2" ALTA (2,00 M DO PISO), PVC, INSTALADA EM PAREDE - FORNECIMENTO E INSTALAÇÃO. AF_03/2023</t>
  </si>
  <si>
    <t>104396</t>
  </si>
  <si>
    <t>CONDULETE DE PVC, TIPO E, PARA ELETRODUTO DE PVC SOLDÁVEL, APARENTE - FORNECIMENTO E INSTALAÇÃO. AF_10/2022</t>
  </si>
  <si>
    <t>104402</t>
  </si>
  <si>
    <t>CONDULETE DE PVC, TIPO C, PARA ELETRODUTO DE PVC SOLDÁVEL, APARENTE - FORNECIMENTO E INSTALAÇÃO. AF_10/2022</t>
  </si>
  <si>
    <t>91953</t>
  </si>
  <si>
    <t>INTERRUPTOR SIMPLES (1 MÓDULO), 10A/250V, INCLUINDO SUPORTE E PLACA - FORNECIMENTO E INSTALAÇÃO. AF_03/2023</t>
  </si>
  <si>
    <t>91959</t>
  </si>
  <si>
    <t>INTERRUPTOR SIMPLES (2 MÓDULOS), 10A/250V, INCLUINDO SUPORTE E PLACA - FORNECIMENTO E INSTALAÇÃO. AF_03/2023</t>
  </si>
  <si>
    <t>91967</t>
  </si>
  <si>
    <t>INTERRUPTOR SIMPLES (3 MÓDULOS), 10A/250V, INCLUINDO SUPORTE E PLACA - FORNECIMENTO E INSTALAÇÃO. AF_03/2023</t>
  </si>
  <si>
    <t>92000</t>
  </si>
  <si>
    <t>TOMADA BAIXA DE EMBUTIR (1 MÓDULO), 2P+T 10 A, INCLUINDO SUPORTE E PLACA - FORNECIMENTO E INSTALAÇÃO. AF_03/2023</t>
  </si>
  <si>
    <t>12147</t>
  </si>
  <si>
    <t>7525</t>
  </si>
  <si>
    <t xml:space="preserve">TOMADA INDUSTRIAL 3P+T 30 A, 440 V, COM TRAVA, COM PLACA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</si>
  <si>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92023</t>
  </si>
  <si>
    <t>INTERRUPTOR SIMPLES (1 MÓDULO) COM 1 TOMADA DE EMBUTIR 2P+T 10 A, INCLUINDO SUPORTE E PLACA - FORNECIMENTO E INSTALAÇÃO. AF_03/2023</t>
  </si>
  <si>
    <t>93654</t>
  </si>
  <si>
    <t>93655</t>
  </si>
  <si>
    <t>93656</t>
  </si>
  <si>
    <t>DISJUNTOR MONOPOLAR TIPO DIN, CORRENTE NOMINAL DE 25A - FORNECIMENTO E INSTALAÇÃO. AF_10/2020</t>
  </si>
  <si>
    <t>93657</t>
  </si>
  <si>
    <t>93653</t>
  </si>
  <si>
    <t>93668</t>
  </si>
  <si>
    <t>DISJUNTOR TRIPOLAR TIPO DIN, CORRENTE NOMINAL DE 16A - FORNECIMENTO E INSTALAÇÃO. AF_10/2020</t>
  </si>
  <si>
    <t>93673</t>
  </si>
  <si>
    <t>39469</t>
  </si>
  <si>
    <t>39462</t>
  </si>
  <si>
    <t>101883</t>
  </si>
  <si>
    <t>QUADRO DE DISTRIBUIÇÃO DE ENERGIA EM CHAPA DE AÇO GALVANIZADO, DE EMBUTIR, COM BARRAMENTO TRIFÁSICO, PARA 18 DISJUNTORES DIN 100A - FORNECIMENTO E INSTALAÇÃO. AF_10/2020</t>
  </si>
  <si>
    <t>E04</t>
  </si>
  <si>
    <t>QUADRO DE COMANDO DE ILUMINAÇÃO COM 6 COMUTADORES</t>
  </si>
  <si>
    <t>97599</t>
  </si>
  <si>
    <t>LUMINÁRIA DE EMERGÊNCIA, COM 30 LÂMPADAS LED DE 2 W, SEM REATOR - FORNECIMENTO E INSTALAÇÃO. AF_02/2020</t>
  </si>
  <si>
    <t>39390</t>
  </si>
  <si>
    <t>E05</t>
  </si>
  <si>
    <t>LÂMPADA DE LED 18 W, BASE E27 - FORNECIMENTO E INSTALAÇÃO. AF_02/2020</t>
  </si>
  <si>
    <t>E06</t>
  </si>
  <si>
    <t>LÂMPADA DE LED 24 W, BASE E27 - FORNECIMENTO E INSTALAÇÃO. AF_02/2020</t>
  </si>
  <si>
    <t>E07</t>
  </si>
  <si>
    <t>LÂMPADA PARA CHURRASQUEIRA 40 W, BASE E27, SOQUETE DE PORCELANA  - FORNECIMENTO E INSTALAÇÃO. AF_02/2020</t>
  </si>
  <si>
    <t>E08</t>
  </si>
  <si>
    <t>LUMINÁRIA DE LED, DE 181 W ATÉ 239 W, CORPO EM ALUMÍNIO OU AÇO INOX COM PINTURA ELETROSTÁTICA A PÓ, RESISTENTE A CORROSÃO, LENTE EM VIDRO TEMPERADO, IP65, EFICIÊNCIA LUMINOSA 100 LUMENS/WATT - FORNECIMENTO E INSTALAÇÃO. AF_08/2020</t>
  </si>
  <si>
    <t>98111</t>
  </si>
  <si>
    <t>CAIXA DE INSPEÇÃO PARA ATERRAMENTO, CIRCULAR, EM POLIETILENO, DIÂMETRO INTERNO = 0,3 M. AF_12/2020</t>
  </si>
  <si>
    <t>96985</t>
  </si>
  <si>
    <t>HASTE DE ATERRAMENTO, DIÂMETRO 5/8", COM 3 METROS - FORNECIMENTO E INSTALAÇÃO. AF_08/2023</t>
  </si>
  <si>
    <t>97598</t>
  </si>
  <si>
    <t>SENSOR DE PRESENÇA SEM FOTOCÉLULA, FIXAÇÃO EM TETO - FORNECIMENTO E INSTALAÇÃO. AF_02/2020</t>
  </si>
  <si>
    <t>Alarme Banheiro Deficiente PNE NBR9050 Audiovisual Sem Fio</t>
  </si>
  <si>
    <t>COMPOSIÇÃO E03</t>
  </si>
  <si>
    <t>COMPOSIÇÃO E04</t>
  </si>
  <si>
    <t>COMPOSIÇÃO E05</t>
  </si>
  <si>
    <t>COMPOSIÇÃO E06</t>
  </si>
  <si>
    <t>COMPOSIÇÃO E07</t>
  </si>
  <si>
    <t>COMPOSIÇÃO E08</t>
  </si>
  <si>
    <t>COMPOSIÇÃO E11</t>
  </si>
  <si>
    <t>TOMADA 2P+T 10A, 250V, CONJUNTO MONTADO PARA SOBREPOR 4" X 2" (CAIXA + MODULO)</t>
  </si>
  <si>
    <t>DISPOSITIVO DPS CLASSE II, 1 POLO, TENSAO MAXIMA DE 275 V, CORRENTE MAXIMA DE *20* KA (TIPO AC)</t>
  </si>
  <si>
    <t>DISPOSITIVO DR, 4 POLOS, SENSIBILIDADE DE 300 MA, CORRENTE DE 63 A, TIPO AC</t>
  </si>
  <si>
    <t>LUMINARIA LED REFLETOR RETANGULAR BIVOLT, LUZ BRANCA, 30 W</t>
  </si>
  <si>
    <t xml:space="preserve">UN    </t>
  </si>
  <si>
    <t>UNIDADE</t>
  </si>
  <si>
    <t>88264</t>
  </si>
  <si>
    <t>88247</t>
  </si>
  <si>
    <t>Eletrocalha perfurada tipo u 100x50x3000mm #24</t>
  </si>
  <si>
    <t>Emenda interna eletrocalha perfurada 100x50mm pré zincado</t>
  </si>
  <si>
    <t>96562</t>
  </si>
  <si>
    <t>SUPORTE PARA ELETROCALHA LISA OU PERFURADA EM AÇO GALVANIZADO, LARGURA 400 MM, EM PERFILADO COM COMPRIMENTO DE 45 CM FIXADO EM LAJE, POR METRO DE ELETROCALHA FIXADA. AF_09/2023</t>
  </si>
  <si>
    <t>COTAÇÃO E01</t>
  </si>
  <si>
    <t>COTAÇÃO E02</t>
  </si>
  <si>
    <t>Eletrocalha 75X50 Perfurada Galvanizada CH 24</t>
  </si>
  <si>
    <t>Emenda para Eletrocalha 75X50</t>
  </si>
  <si>
    <t>43096</t>
  </si>
  <si>
    <t xml:space="preserve">CAIXA DE PASSAGEM ELETRICA DE PAREDE, DE EMBUTIR, EM TERMOPLASTICO / PVC, COM TAMPA APARAFUSADA, DIMENSOES 400 X 400 X *120*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</si>
  <si>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Comutador 22Mm Plástico Manopla Curta 2 Posições Fixa 1Na</t>
  </si>
  <si>
    <t>12295</t>
  </si>
  <si>
    <t xml:space="preserve">SOQUETE DE BAQUELITE BASE E27, PARA LAMPADAS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</si>
  <si>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LAMPADA LED BULBO 18W BRANCA BIVOLT, BASE E27</t>
  </si>
  <si>
    <t>Lâmpada LED Bulbo Alta Potência E-27 Bivolt 24W 6500K Branco Frio 2800 Lúmens</t>
  </si>
  <si>
    <t>12294</t>
  </si>
  <si>
    <t xml:space="preserve">SOQUETE DE PORCELANA BASE E27, PARA USO AO TEMPO, PARA LAMPADAS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</si>
  <si>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Lampada 40w Para Churrasqueira/forno/ Geladeira</t>
  </si>
  <si>
    <t>21127</t>
  </si>
  <si>
    <t xml:space="preserve">FITA ISOLANTE ADESIVA ANTICHAMA, USO ATE 750 V, EM ROLO DE 19 MM X 5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</si>
  <si>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42248</t>
  </si>
  <si>
    <t xml:space="preserve">LUMINARIA DE LED PARA ILUMINACAO PUBLICA, DE 181 W ATE 239 W, INVOLUCRO EM ALUMINIO OU ACO INOX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</si>
  <si>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COTAÇÃO E05</t>
  </si>
  <si>
    <t>COTAÇÃO E06</t>
  </si>
  <si>
    <t>COTAÇÃO E07</t>
  </si>
  <si>
    <t>COTAÇÃO E08</t>
  </si>
  <si>
    <t>COTAÇÃO E09</t>
  </si>
  <si>
    <t>COTAÇÃO E10</t>
  </si>
  <si>
    <t>101905</t>
  </si>
  <si>
    <t>EXTINTOR DE INCÊNDIO PORTÁTIL COM CARGA DE ÁGUA PRESSURIZADA DE 10 L, CLASSE A - FORNECIMENTO E INSTALAÇÃO. AF_10/2020_PE</t>
  </si>
  <si>
    <t>101909</t>
  </si>
  <si>
    <t>EXTINTOR DE INCÊNDIO PORTÁTIL COM CARGA DE PQS DE 6 KG, CLASSE BC - FORNECIMENTO E INSTALAÇÃO. AF_10/2020_PE</t>
  </si>
  <si>
    <t>Bloco de Iluminação Led de Emergencia Autonoma Bla 2200 Intelbras</t>
  </si>
  <si>
    <t>Placa de Saída de Emergência Grande 50X32Cm, autônoma, duração da bateria 2 horas, corpo metálico, iluminação em led (SAÍDA / SAÍDA DIREITA / SAÍDA ESQUERDA)</t>
  </si>
  <si>
    <t>PLACA DE LOTAÇÃO MÁXIMA, 40x20cm, pvc, fotoluminescente, verde e branco</t>
  </si>
  <si>
    <t>PLACA DE ACESSO RESTRITO 20x25cm, PVC</t>
  </si>
  <si>
    <t>Central de Alarme de Incêndio c/ Bateria Inclusa CIE 1060 Intelbras</t>
  </si>
  <si>
    <t>Acionador Manual Endereçavel Intelbras Sem Sirene Ame521</t>
  </si>
  <si>
    <t>Sinalizador Audio Visual Endereçável Sav 520e Intelbras</t>
  </si>
  <si>
    <t>Detector de Fumaça Intelbras Dfe 521 Endereçavel</t>
  </si>
  <si>
    <t>COTAÇÃO PREV01</t>
  </si>
  <si>
    <t>COTAÇÃO PREV02</t>
  </si>
  <si>
    <t>COTAÇÃO PREV03</t>
  </si>
  <si>
    <t>COTAÇÃO PREV04</t>
  </si>
  <si>
    <t>COTAÇÃO PREV05</t>
  </si>
  <si>
    <t>COTAÇÃO PREV06</t>
  </si>
  <si>
    <t>103331</t>
  </si>
  <si>
    <t>ALVENARIA DE VEDAÇÃO DE BLOCOS CERÂMICOS FURADOS NA HORIZONTAL DE 11,5X19X19 CM (ESPESSURA 11,5 CM) E ARGAMASSA DE ASSENTAMENTO COM PREPARO MANUAL. AF_12/2021</t>
  </si>
  <si>
    <t>87530</t>
  </si>
  <si>
    <t>MASSA ÚNICA, EM ARGAMASSA TRAÇO 1:2:8, PREPARO MANUAL, APLICADA MANUALMENTE EM PAREDES INTERNAS DE AMBIENTES COM ÁREA ENTRE 5M² E 10M², E = 17,5MM, COM TALISCAS. AF_03/2024</t>
  </si>
  <si>
    <t>94990</t>
  </si>
  <si>
    <t>EXECUÇÃO DE PASSEIO (CALÇADA) OU PISO DE CONCRETO COM CONCRETO MOLDADO IN LOCO, FEITO EM OBRA, ACABAMENTO CONVENCIONAL, NÃO ARMADO. AF_08/2022</t>
  </si>
  <si>
    <t>97735</t>
  </si>
  <si>
    <t>PEÇA RETANGULAR PRÉ-MOLDADA, VOLUME DE CONCRETO DE 30 A 100 LITROS, TAXA DE AÇO APROXIMADA DE 30KG/M³. AF_03/2024</t>
  </si>
  <si>
    <t>4948</t>
  </si>
  <si>
    <t>92689</t>
  </si>
  <si>
    <t>TUBO DE AÇO PRETO SEM COSTURA, CLASSE MÉDIA, CONEXÃO SOLDADA, DN 15 (1/2"), INSTALADO EM RAMAIS E SUB-RAMAIS DE GÁS - FORNECIMENTO E INSTALAÇÃO. AF_10/2020</t>
  </si>
  <si>
    <t>97547</t>
  </si>
  <si>
    <t>CURVA 90 GRAUS, EM AÇO, CONEXÃO SOLDADA, DN 15 (1/2"), INSTALADO EM RAMAIS E SUB-RAMAIS DE GÁS - FORNECIMENTO E INSTALAÇÃO. AF_10/2020</t>
  </si>
  <si>
    <t>103029</t>
  </si>
  <si>
    <t>REGISTRO OU REGULADOR DE GÁS DE COZINHA - FORNECIMENTO E INSTALAÇÃO. AF_08/2021</t>
  </si>
  <si>
    <t>20260</t>
  </si>
  <si>
    <t>104763</t>
  </si>
  <si>
    <t>FURO MECANIZADO EM CONCRETO, COM MARTELO DEMOLIDOR, PARA INSTALAÇÕES ELÉTRICAS, DIÂMETROS MAIORES QUE 75 MM E MENORES OU IGUAIS A 150 MM. AF_09/2023</t>
  </si>
  <si>
    <t>MANGUEIRA PARA GAS - GLP, PVC, TRANCADA, DIAMETRO DE 3/8", COMPRIMENTO DE 1M (NORMATIZADA)</t>
  </si>
  <si>
    <t>PORTAO DE ABRIR / GIRO, EM GRADIL DE METALON REDONDO DE 3/4" VERTICAL, COM REQUADRO, ACABAMENTO NATURAL - COMPLETO</t>
  </si>
  <si>
    <t>INSTALAÇÕES DE GÁS</t>
  </si>
  <si>
    <t>UM</t>
  </si>
  <si>
    <t>IMPERMEABILIZAÇÃO DE SUPERFÍCIE COM MANTA ASFÁLTICA, UMA CAMADA, INCLUSIVE APLICAÇÃO DE PRIMER ASFÁLTICO, E=3MM, ALUMINIZADA, TIPO III, POLIESTER, CLASSE B. AF_09/2023</t>
  </si>
  <si>
    <t>BASE 98546</t>
  </si>
  <si>
    <t>13.5.5</t>
  </si>
  <si>
    <t>13.5.6</t>
  </si>
  <si>
    <t>BASE 94229</t>
  </si>
  <si>
    <t>CALHA EM CHAPA DE AÇO GALVANIZADO NÚMERO 24, DESENVOLVIMENTO DE 155 CM, INCLUSO TRANSPORTE VERTICAL. AF_07/2019</t>
  </si>
  <si>
    <t>Executar calha de chapa de aço no interior das calhas de concreto existentes</t>
  </si>
  <si>
    <t>511</t>
  </si>
  <si>
    <t xml:space="preserve">PRIMER PARA MANTA ASFALTICA A BASE DE ASFALTO MODIFICADO DILUIDO EM SOLVENTE, APLICACAO A FRIO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</si>
  <si>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11621</t>
  </si>
  <si>
    <t xml:space="preserve">MANTA ASFALTICA ELASTOMERICA EM POLIESTER ALUMINIZADA 3 MM, TIPO III, CLASSE B (NBR 9952)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</si>
  <si>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4226</t>
  </si>
  <si>
    <t xml:space="preserve">GAS DE COZINHA - GLP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</si>
  <si>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88243</t>
  </si>
  <si>
    <t>88270</t>
  </si>
  <si>
    <t xml:space="preserve">L     </t>
  </si>
  <si>
    <t>142</t>
  </si>
  <si>
    <t xml:space="preserve">SELANTE ELASTICO MONOCOMPONENTE A BASE DE POLIURETANO (PU) PARA JUNTAS DIVERSAS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</si>
  <si>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310ML </t>
  </si>
  <si>
    <t>5061</t>
  </si>
  <si>
    <t xml:space="preserve">PREGO DE ACO POLIDO COM CABECA 18 X 27 (2 1/2 X 10)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</si>
  <si>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5104</t>
  </si>
  <si>
    <t xml:space="preserve">REBITE DE REPUXO EM ALUMINIO VAZADO, DIAMETRO 3,2 X 8 MM DE COMPRIMENTO (1KG = 1025 UNIDADES)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</si>
  <si>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13388</t>
  </si>
  <si>
    <t xml:space="preserve">SOLDA EM BARRA DE ESTANHO-CHUMBO 50/50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</si>
  <si>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40784</t>
  </si>
  <si>
    <t xml:space="preserve">CALHA QUADRADA DE CHAPA DE ACO GALVANIZADA NUM 24, CORTE 100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</si>
  <si>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88323</t>
  </si>
  <si>
    <t>93281</t>
  </si>
  <si>
    <t>GUINCHO ELÉTRICO DE COLUNA, CAPACIDADE 400 KG, COM MOTO FREIO, MOTOR TRIFÁSICO DE 1,25 CV - CHP DIURNO. AF_03/2016</t>
  </si>
  <si>
    <t>CHP</t>
  </si>
  <si>
    <t>93282</t>
  </si>
  <si>
    <t>GUINCHO ELÉTRICO DE COLUNA, CAPACIDADE 400 KG, COM MOTO FREIO, MOTOR TRIFÁSICO DE 1,25 CV - CHI DIURNO. AF_03/2016</t>
  </si>
  <si>
    <t>CHI</t>
  </si>
  <si>
    <t>3.9.1</t>
  </si>
  <si>
    <t>3.9.2</t>
  </si>
  <si>
    <t>3.9.3</t>
  </si>
  <si>
    <t>3.9.4</t>
  </si>
  <si>
    <t>3.9.5</t>
  </si>
  <si>
    <t>3.9.6</t>
  </si>
  <si>
    <t>97628</t>
  </si>
  <si>
    <t>DEMOLIÇÃO DE LAJES, EM CONCRETO ARMADO, DE FORMA MANUAL, SEM REAPROVEITAMENTO. AF_09/2023</t>
  </si>
  <si>
    <t>97626</t>
  </si>
  <si>
    <t>DEMOLIÇÃO DE PILARES E VIGAS EM CONCRETO ARMADO, DE FORMA MANUAL, SEM REAPROVEITAMENTO. AF_09/2023</t>
  </si>
  <si>
    <t>COMPOSIÇÃO AMP 01</t>
  </si>
  <si>
    <t>11963</t>
  </si>
  <si>
    <t>PARAFUSO DE ACO ZINCADO, TIPO CHUMBADOR PARABOLT, DIAMETRO 1/2", COMPRIMENTO 75 MM</t>
  </si>
  <si>
    <t>BASE 11963</t>
  </si>
  <si>
    <t>COMPOSIÇÃO AMP 02 BASE 100763</t>
  </si>
  <si>
    <t>PERFIL U ENRIJECIDO, EM CHAPA DOBRADA DE AÇO LAMINADO, E=3,75, 150x60x20 MM (8,25KG/M) COM PINTURA DE FUNDO (TIPO ZARCÃO), INCLUSO MÃO DE OBRA, PARAFUSADO, FORNECIMENTO E INSTALAÇÃO</t>
  </si>
  <si>
    <t>PILAR DE AÇO INOX AISI 304, CHAPA NÚMERO 9 (E = 4MM), ACABAMENOT NUMERO 1 (LAMINADO A QUENTE, FOSCO), PERFIL RETANGULAR, 6x12CM, FORNECIMENTO E INSTALAÇÃO</t>
  </si>
  <si>
    <t>COMPOSIÇÃO AMP 03 BASE 92606</t>
  </si>
  <si>
    <t>FABRICAÇÃO E INSTALAÇÃO DE TESOURA INTEIRA EM AÇO, VÃO DE 5 M, PARA TELHA ONDULADA METÁLICA, INCLUSO IÇAMENTO, COM PERFIS U SIMPLES 125x50x15, E=2,65mm</t>
  </si>
  <si>
    <t>COMPOSIÇÃO AMP 04 BASE 104314</t>
  </si>
  <si>
    <t>TRAMA DE AÇO COMPOSTA POR TERÇAS PARA TELHADOS DE ATÉ 2 ÁGUAS PARA TELHA ONDULADA METÁLICA, INCLUSO TRANSPORTE VERTICAL (EM KG). COM PERFIL U ENRIJECIDO 75x40x15 E=2,25mm (2,95KG/M)</t>
  </si>
  <si>
    <t>94213</t>
  </si>
  <si>
    <t>3.9.7</t>
  </si>
  <si>
    <t>3.9.8</t>
  </si>
  <si>
    <t>3.9.9</t>
  </si>
  <si>
    <t>3.9.10</t>
  </si>
  <si>
    <t>3.9.11</t>
  </si>
  <si>
    <t>94231</t>
  </si>
  <si>
    <t>RUFO EM CHAPA DE AÇO GALVANIZADO NÚMERO 24, E=0,65mm, CORTE DE 25 CM, INCLUSO TRANSPORTE VERTICAL. AF_07/2019</t>
  </si>
  <si>
    <t>100748</t>
  </si>
  <si>
    <t>PINTURA COM TINTA ALQUÍDICA DE ACABAMENTO (ESMALTE SINTÉTICO FOSCO) APLICADA A ROLO OU PINCEL SOBRE PERFIL METÁLICO (POR DEMÃO). AF_01/2020 (EXECUTAR DUAS DEMÃOS)</t>
  </si>
  <si>
    <t>AMP 01</t>
  </si>
  <si>
    <t>12759</t>
  </si>
  <si>
    <t xml:space="preserve">CHAPA ACO INOX AISI 304 NUMERO 9 (E = 4 MM), ACABAMENTO NUMERO 1 (LAMINADO A QUENTE, FOSCO)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</si>
  <si>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88251</t>
  </si>
  <si>
    <t>AUXILIAR DE SERRALHEIRO COM ENCARGOS COMPLEMENTARES</t>
  </si>
  <si>
    <t>AMP 02 BASE 100763</t>
  </si>
  <si>
    <t>442</t>
  </si>
  <si>
    <t xml:space="preserve">PARAFUSO FRANCES M16 EM ACO GALVANIZADO, COMPRIMENTO = 45 MM, DIAMETRO = 16 MM, CABECA ABAULADA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</si>
  <si>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43083</t>
  </si>
  <si>
    <t xml:space="preserve">PERFIL "U" ENRIJECIDO, EM CHAPA DOBRADA DE ACO LAMINADO, E = 3,75 MM, H = 200 MM, L = 75 MM (9,94 KG/M)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</si>
  <si>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88240</t>
  </si>
  <si>
    <t>AJUDANTE DE ESTRUTURA METÁLICA COM ENCARGOS COMPLEMENTARES</t>
  </si>
  <si>
    <t>88278</t>
  </si>
  <si>
    <t>MONTADOR DE ESTRUTURA METÁLICA COM ENCARGOS COMPLEMENTARES</t>
  </si>
  <si>
    <t>100716</t>
  </si>
  <si>
    <t>JATEAMENTO ABRASIVO COM GRANALHA DE AÇO EM PERFIL METÁLICO EM FÁBRICA. AF_01/2020</t>
  </si>
  <si>
    <t>100719</t>
  </si>
  <si>
    <t>AMP 03 BASE 92606</t>
  </si>
  <si>
    <t>4777</t>
  </si>
  <si>
    <t xml:space="preserve">CANTONEIRA ACO ABAS IGUAIS (QUALQUER BITOLA), ESPESSURA ENTRE 1/8" E 1/4"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</si>
  <si>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10997</t>
  </si>
  <si>
    <t xml:space="preserve">ELETRODO REVESTIDO AWS - E7018, DIAMETRO IGUAL A 4,00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</si>
  <si>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40598</t>
  </si>
  <si>
    <t xml:space="preserve">PERFIL "U" SIMPLES, EM CHAPA DOBRADA DE ACO LAMINADO, E = 3 MM, H = 125 MM, L = 50 MM (5,07 KG/M)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</si>
  <si>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92255</t>
  </si>
  <si>
    <t>INSTALAÇÃO DE TESOURA (INTEIRA OU MEIA), EM AÇO, PARA VÃOS MAIORES OU IGUAIS A 3,0 M E MENORES QUE 6,0 M, INCLUSO IÇAMENTO. AF_07/2019</t>
  </si>
  <si>
    <t>AMP 04 BASE 104314</t>
  </si>
  <si>
    <t>40549</t>
  </si>
  <si>
    <t xml:space="preserve">PARAFUSO, COMUM, ASTM A307, SEXTAVADO, DIAMETRO 1/2" (12,7 MM), COMPRIMENTO 1" (25,4 MM)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</si>
  <si>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CENTO </t>
  </si>
  <si>
    <t>40535</t>
  </si>
  <si>
    <t xml:space="preserve">PERFIL "U" SIMPLES, EM CHAPA DOBRADA DE ACO LAMINADO, E = 2,65 MM, H = 75 MM, L = 40 MM (3,04 KG/M)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</si>
  <si>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Carga, transporte e descarte do material em local adequado</t>
  </si>
  <si>
    <t>Acabamento das duas faces internas dos muros (existente, cortina e alvenaria) da rampa de acesso</t>
  </si>
  <si>
    <t>Impermeabilização de cortina de concreto com utilizaçao de emulsão asfáltica - face em contato com o dreno e solo;</t>
  </si>
  <si>
    <t>Armação de ancoragem do piso a ser executado ao muro existente, com barras de ferro 10mm e furos no muro de concreto, sendo 1 barra de 0,5m c/12cm, amarrados a armadura do piso</t>
  </si>
  <si>
    <t>3.6.3</t>
  </si>
  <si>
    <t>88485</t>
  </si>
  <si>
    <t>Limpeza e pintura das paredes rebocadas - laterais de escada e muretas da entrada - não contempla pintura do murro principal (face voltada a Rua)</t>
  </si>
  <si>
    <t>Execução de cobertura na fachada frontal da edificação, dimensões 3,97x5,90m, em estrutura metálica, conforme projeto anexo, inclusive demolição da marquise de concreto armado existente</t>
  </si>
  <si>
    <t>FABRICAÇÃO E INSTALAÇÃO DE TESOURA INTEIRA EM AÇO, VÃO DE 5 M, INCLUSIVE ABAS, PARA TELHA ONDULADA METÁLICA, INCLUSO IÇAMENTO, COM PERFIS U SIMPLES 125x50x15, E=2,65mm</t>
  </si>
  <si>
    <t>6.8.2</t>
  </si>
  <si>
    <t>REQUADRO DE ABERTURA PARA JANELA</t>
  </si>
  <si>
    <t>Reparos na alvenaria quebrada da parede e requadro para porta</t>
  </si>
  <si>
    <t>REQUADRO DE ABERTURA PARA PORTA</t>
  </si>
  <si>
    <t>AJUSTE NA ALTURA DA PORTA PRINCIPAL EXISTENTE, REFERENTE AO AUMENTO DA ALTURA DO PISO APÓS CONTRAPISO NOVO, MATERIAIS E MÃO DE OBRA</t>
  </si>
  <si>
    <t>VIGA METÁLICA EM VIGA U 125x50 E=3,0MM, COM CONEXÕES PARAFUSADAS, INCLUSOS MÃO DE OBRA, TRANSPORTE E IÇAMENTO - FORNECIMENTO E INSTALAÇÃO. AF_01/2020_PSA</t>
  </si>
  <si>
    <t>Lavação externa das paredes e janelas das fachadas norte e oeste, além do interior de todas as calhas de concreto da cobertura da parte inferior e cobertura da copa e vestiários da parte superior;</t>
  </si>
  <si>
    <t>Remoção e instalação de telhas metalicas novas, conforme padrão existente na cobertura sobre a copa e vestiários da parte superior do ginásio;</t>
  </si>
  <si>
    <t>Substituição dos rufos e algerosas, conforme padrão existente (cobertura sobre a copa e vestiários da parte superior do ginásio, além de cobertura sobre cozinha, churrasqueira, área de apoio e depósito, inclusive chaminé da parte inferior);</t>
  </si>
  <si>
    <t>Instalação de exaustores na cobertura;</t>
  </si>
  <si>
    <t>Execução de furos para novas descidas nas calhas de concreto existente nos locais a serem definidos pela fiscalização</t>
  </si>
  <si>
    <t>15.1.1</t>
  </si>
  <si>
    <t>90778</t>
  </si>
  <si>
    <t>ENGENHEIRO CIVIL DE OBRA PLENO COM ENCARGOS COMPLEMENTARES</t>
  </si>
  <si>
    <t>h</t>
  </si>
  <si>
    <t>Acompanhamento da obra (execução) 6h/semana, 9 meses</t>
  </si>
  <si>
    <t>Calçada em concreto armado, fck 25MPa, h=8cm, malha simples (15x15cmx4,2mm), acabamento tipo desempeno fino - para rampa PCD;</t>
  </si>
  <si>
    <t>BASE 94994</t>
  </si>
  <si>
    <t>EXECUÇÃO DE PASSEIO (CALÇADA) OU PISO DE CONCRETO COM CONCRETO MOLDADO IN LOCO, FEITO EM OBRA, FCK = 25MPA, ACABAMENTO CONVENCIONAL (DESEMPENADO), ESPESSURA 8 CM, ARMADO (TELA Q-92 15X15 4.2MM). AF_08/2022</t>
  </si>
  <si>
    <t>2.6.4</t>
  </si>
  <si>
    <t>3671</t>
  </si>
  <si>
    <t>JUNTA PLASTICA DE DILATACAO PARA PISOS, COR CINZA, 17 X 3 MM (ALTURA X ESPESSURA)</t>
  </si>
  <si>
    <t>Área de manobra e passeio com lastro de briga h=10cm, caixa de areia/pó de pedra e pavimentação em paver;</t>
  </si>
  <si>
    <t>Revestimento cerâmico PEI &gt;= 3, assentado com argamassa AC II e rejunte cimentício (paredes internas), incluso preparação da superfície da parede com demolição parcial do revestimento e nivelamento com aplicação de camada de argamassa AC III;</t>
  </si>
  <si>
    <t>8.5.3</t>
  </si>
  <si>
    <t>8.5.4</t>
  </si>
  <si>
    <t>Fechamento do vão com janela de madeira existente de ligação com a parte superior</t>
  </si>
  <si>
    <t>103330</t>
  </si>
  <si>
    <t>96485</t>
  </si>
  <si>
    <t>FORRO EM RÉGUAS DE PVC, LISO, PARA AMBIENTES RESIDENCIAIS, INCLUSIVE ESTRUTURA UNIDIRECIONAL DE FIXAÇÃO. AF_08/2023_PS</t>
  </si>
  <si>
    <t>Forro em PVC liso tipo régua, e = 8 a 10mm,  estrutura de fixação e acabamentos;</t>
  </si>
  <si>
    <t>Aplicação de fita antiderrapante próximo às quinas dos degraus da escada, em toda largura do degrau</t>
  </si>
  <si>
    <t>3.8.2</t>
  </si>
  <si>
    <t>FITA ANTIDERRAPANTE 50mm PARA RAMPA, ESCADA, PISOS, MARCA 3M OU SIMILAR</t>
  </si>
  <si>
    <t>5.10.10</t>
  </si>
  <si>
    <t>11186</t>
  </si>
  <si>
    <t>ESPELHO CRISTAL E = 4 MM</t>
  </si>
  <si>
    <t>BANCADA GRANITO CINZA, 50 X 60 CM, INCL. CUBA DE EMBUTIR OVAL LOUÇA BRANCA 35 X 50 CM, VÁLVULA METAL CROMADO, SIFÃO FLEXÍVEL PVC, ENGATE 30 CM FLEXÍVEL PLÁSTICO E TORNEIRA METÁLICA CROMADA DE MESA, PADRÃO POPULAR - FORNEC. E INSTALAÇÃO. AF_01/2020</t>
  </si>
  <si>
    <t>LAVATÓRIO LOUÇA BRANCA SUSPENSO, DE CANTO OU EQUIVALENTE, PADRÃO POPULAR, INCLUSO SIFÃO FLEXÍVEL EM PVC, VÁLVULA E ENGATE FLEXÍVEL 30CM EM PLÁSTICO E TORNEIRA METÁLICA CROMADA DE MESA COM ALAVANCA E FECHAMENTO MANUAL - FORNECIMENTO E INSTALAÇÃO.</t>
  </si>
  <si>
    <t>8.1.3</t>
  </si>
  <si>
    <t>98110</t>
  </si>
  <si>
    <t>CAIXA DE GORDURA PEQUENA (CAPACIDADE: 19 L), CIRCULAR, EM PVC, DIÂMETRO INTERNO= 0,3 M. AF_12/2020</t>
  </si>
  <si>
    <t>94569</t>
  </si>
  <si>
    <t>Substituição da janela do corredor por janela nova em alumínio mantendo o padrão existente</t>
  </si>
  <si>
    <t>Aplicação de insulfilm nas janelas G-35</t>
  </si>
  <si>
    <t>Insulfilm Profissional Poliester P/ Janelas Portas, fornecimento e instalação</t>
  </si>
  <si>
    <t>12.1.2</t>
  </si>
  <si>
    <t>11.1.2</t>
  </si>
  <si>
    <t>MUNICÍPIO DE PRESIDENTE CASTELLO BRANCO</t>
  </si>
  <si>
    <t>RUA ALBERTO ERNESTO LANG, 29, CENTRO</t>
  </si>
  <si>
    <t>CEP: 89.745-000 / FONE: (49) 3457-1122</t>
  </si>
  <si>
    <t>PLANILHA ORÇAMENTÁRIA</t>
  </si>
  <si>
    <t>MUNICÍPIO DE PRESIDENTE CASTELLO BRANCO - SC</t>
  </si>
  <si>
    <t>ENDEREÇO DA OBRA:</t>
  </si>
  <si>
    <t>AVENIDA XV DE NOVEMBRO, S/N, CENTRO</t>
  </si>
  <si>
    <t>ESTACIONAMENTO E CALÇADA</t>
  </si>
  <si>
    <t>REFERÊNCIA SINAPI</t>
  </si>
  <si>
    <t>06/2024</t>
  </si>
  <si>
    <t>DESONERAÇÃO</t>
  </si>
  <si>
    <t>DES.</t>
  </si>
  <si>
    <t>BDI</t>
  </si>
  <si>
    <t>REFORMA (EDIFICAÇÃO EXISTENTE)</t>
  </si>
  <si>
    <t>AMPLIAÇÃO (VARANDA)</t>
  </si>
  <si>
    <t>RAMPA PCD (A CONSTRUIR)</t>
  </si>
  <si>
    <t>ESCADA DE ACESSO E PATAMARES (A REFORMAR)</t>
  </si>
  <si>
    <t>PROPRIETÁRIO:</t>
  </si>
  <si>
    <r>
      <t xml:space="preserve"> (m</t>
    </r>
    <r>
      <rPr>
        <vertAlign val="superscript"/>
        <sz val="12"/>
        <color theme="1"/>
        <rFont val="Arial"/>
        <family val="2"/>
        <scheme val="minor"/>
      </rPr>
      <t>2</t>
    </r>
    <r>
      <rPr>
        <sz val="12"/>
        <color theme="1"/>
        <rFont val="Arial"/>
        <family val="2"/>
        <scheme val="minor"/>
      </rPr>
      <t>)</t>
    </r>
  </si>
  <si>
    <t>ÁREAS</t>
  </si>
  <si>
    <t>97634</t>
  </si>
  <si>
    <t>DEMOLIÇÃO DE REVESTIMENTO CERÂMICO, DE FORMA MECANIZADA COM MARTELETE, SEM REAPROVEITAMENTO. AF_09/2023</t>
  </si>
  <si>
    <t>OBRA: REFORMA DO GINÁSIO DE ESPORTES - CASTELÃO (LOTE 01)</t>
  </si>
  <si>
    <t>PROJETO</t>
  </si>
  <si>
    <t>JORDANA SANDI</t>
  </si>
  <si>
    <t>ARQUITETA E URBANISTA</t>
  </si>
  <si>
    <t>REVISÃO</t>
  </si>
  <si>
    <t>RENAN MARCOS MURARO</t>
  </si>
  <si>
    <t>ENG. CIVIL</t>
  </si>
  <si>
    <t>CREA 165.837-1/SC</t>
  </si>
  <si>
    <t>RRT SI12644005R01CT001</t>
  </si>
  <si>
    <t>KAMILA GUIZZO TEIXEIRA STUANI</t>
  </si>
  <si>
    <t>CAU 00A1648438</t>
  </si>
  <si>
    <t>CAU 00A1338510</t>
  </si>
  <si>
    <t>RRT SI12644011I00CT001</t>
  </si>
  <si>
    <t>STUDIO SETTE ARQUITETURA LTDA</t>
  </si>
  <si>
    <t>MUNICÍPIO DE PRESIDENTE CASTELLO BRANCO/SC</t>
  </si>
  <si>
    <t>RESPONSABILIDADE TÉCNICA:</t>
  </si>
  <si>
    <t>TOTAL DO ORÇAMENTO COM O BDI 28,99%</t>
  </si>
  <si>
    <t>TOTAL BDI 28,99</t>
  </si>
  <si>
    <t>1287</t>
  </si>
  <si>
    <t xml:space="preserve">PISO EM CERAMICA ESMALTADA EXTRA, COR LISA, PEI MAIOR OU IGUAL A 4, FORMATO MENOR OU IGUAL A 2025 CM2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</si>
  <si>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34353</t>
  </si>
  <si>
    <t xml:space="preserve">ARGAMASSA COLANTE AC 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</si>
  <si>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34357</t>
  </si>
  <si>
    <t xml:space="preserve">REJUNTE CIMENTICIO, QUALQUER COR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</si>
  <si>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88256</t>
  </si>
  <si>
    <t>AZULEJISTA OU LADRILHISTA COM ENCARGOS COMPLEMENTARES</t>
  </si>
  <si>
    <t>28,99%</t>
  </si>
  <si>
    <t>PLANILHA BASE - CIVIL - COMPOSIÇÕES DE SERVIÇOS</t>
  </si>
  <si>
    <t>PROJETO:</t>
  </si>
  <si>
    <t>MUNICÍPIO DE PRES. CAST. BRANCO</t>
  </si>
  <si>
    <t>R$ (UNIT. + BDI)</t>
  </si>
  <si>
    <t>15 - SERVIÇOS COMPLEMENTARES</t>
  </si>
  <si>
    <t>16 - INSTALAÇÕES ELÉTRICAS</t>
  </si>
  <si>
    <t>TOTAL DO ORÇAMENTO SEM BDI</t>
  </si>
  <si>
    <t>17 - PREVENTIVO DE INCENDIO E INSTALAÇÕES DE GÁS</t>
  </si>
  <si>
    <t>PLANILHA BASE - ELÉTRICO - COMPOSIÇÕES DE SERVIÇOS</t>
  </si>
  <si>
    <t>CRONOGRAMA FÍSICO FINANCEIRO</t>
  </si>
  <si>
    <t>Projeto:</t>
  </si>
  <si>
    <t>DISCRIMINAÇÃO</t>
  </si>
  <si>
    <t>PESO</t>
  </si>
  <si>
    <t>PERÍODO (MÊS)</t>
  </si>
  <si>
    <t>MÊS 01</t>
  </si>
  <si>
    <t>MÊS 02</t>
  </si>
  <si>
    <t>MÊS 03</t>
  </si>
  <si>
    <t>MÊS 04</t>
  </si>
  <si>
    <t>MÊS 05</t>
  </si>
  <si>
    <t>MÊS 06</t>
  </si>
  <si>
    <t>R$</t>
  </si>
  <si>
    <t>%</t>
  </si>
  <si>
    <t>TOTAL NO MÊS (SIMPLES)</t>
  </si>
  <si>
    <t>TOTAL NO MÊS (ACUMULADO)</t>
  </si>
  <si>
    <t>PROPRIETÁRIO</t>
  </si>
  <si>
    <t>ENDEREÇO DA OBRA</t>
  </si>
  <si>
    <t>16.1.1</t>
  </si>
  <si>
    <t>16.1.2</t>
  </si>
  <si>
    <t>16.1.3</t>
  </si>
  <si>
    <t>16.1.4</t>
  </si>
  <si>
    <t>16.1.5</t>
  </si>
  <si>
    <t>16.1.6</t>
  </si>
  <si>
    <t>16.1.7</t>
  </si>
  <si>
    <t>16.1.8</t>
  </si>
  <si>
    <t>16.1.9</t>
  </si>
  <si>
    <t>16.1.10</t>
  </si>
  <si>
    <t>16.1.11</t>
  </si>
  <si>
    <t>16.1.12</t>
  </si>
  <si>
    <t>16.1.13</t>
  </si>
  <si>
    <t>16.1.14</t>
  </si>
  <si>
    <t>16.1.15</t>
  </si>
  <si>
    <t>16.1.16</t>
  </si>
  <si>
    <t>16.1.17</t>
  </si>
  <si>
    <t>16.1.18</t>
  </si>
  <si>
    <t>16.1.19</t>
  </si>
  <si>
    <t>16.1.20</t>
  </si>
  <si>
    <t>16.1.21</t>
  </si>
  <si>
    <t>16.1.22</t>
  </si>
  <si>
    <t>16.1.23</t>
  </si>
  <si>
    <t>16.1.24</t>
  </si>
  <si>
    <t>16.1.25</t>
  </si>
  <si>
    <t>16.1.26</t>
  </si>
  <si>
    <t>16.1.27</t>
  </si>
  <si>
    <t>16.1.28</t>
  </si>
  <si>
    <t>16.1.29</t>
  </si>
  <si>
    <t>16.1.30</t>
  </si>
  <si>
    <t>16.1.31</t>
  </si>
  <si>
    <t>16.1.32</t>
  </si>
  <si>
    <t>16.1.33</t>
  </si>
  <si>
    <t>16.1.34</t>
  </si>
  <si>
    <t>16.1.35</t>
  </si>
  <si>
    <t>16.1.36</t>
  </si>
  <si>
    <t>16.1.37</t>
  </si>
  <si>
    <t>16.1.38</t>
  </si>
  <si>
    <t>16.1.39</t>
  </si>
  <si>
    <t>16.1.40</t>
  </si>
  <si>
    <t>16.1.41</t>
  </si>
  <si>
    <t>16.1.42</t>
  </si>
  <si>
    <t>16.1.43</t>
  </si>
  <si>
    <t>17.1.1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</si>
  <si>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</si>
  <si>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</si>
  <si>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</si>
  <si>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</si>
  <si>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</si>
  <si>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</si>
  <si>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</si>
  <si>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</si>
  <si>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17.1.10</t>
  </si>
  <si>
    <t>17.1.11</t>
  </si>
  <si>
    <t>17.1.12</t>
  </si>
  <si>
    <t>17.1.13</t>
  </si>
  <si>
    <t>17.1.14</t>
  </si>
  <si>
    <t>17.1.15</t>
  </si>
  <si>
    <t>17.1.16</t>
  </si>
  <si>
    <t>17.1.17</t>
  </si>
  <si>
    <t>17.1.18</t>
  </si>
  <si>
    <t>17.1.19</t>
  </si>
  <si>
    <t>17.1.20</t>
  </si>
  <si>
    <t>17.1.21</t>
  </si>
  <si>
    <t>17.1.22</t>
  </si>
  <si>
    <t>VALOR DA ETAPA</t>
  </si>
  <si>
    <t>MÊS 07</t>
  </si>
  <si>
    <t>MÊS 08</t>
  </si>
  <si>
    <t>MÊS 09</t>
  </si>
  <si>
    <t>MÊS 10</t>
  </si>
  <si>
    <t>MÊS 11</t>
  </si>
  <si>
    <t>NEIVA KLEEMANN TONIELO</t>
  </si>
  <si>
    <t>PREFEITA MUNICIPAL</t>
  </si>
  <si>
    <t>BDI 1</t>
  </si>
  <si>
    <t>BDI 2</t>
  </si>
  <si>
    <t>Estimativa de percentual para base de cálculo do ISS</t>
  </si>
  <si>
    <t>Alíquota do ISS</t>
  </si>
  <si>
    <t>Fornecimento de Materiais e Equipamentos (aquisição indireta - em conjunto com licitação de obras)</t>
  </si>
  <si>
    <t>Itens</t>
  </si>
  <si>
    <t>Siglas</t>
  </si>
  <si>
    <t>% Adotado</t>
  </si>
  <si>
    <t>AC</t>
  </si>
  <si>
    <t>Seguro e Garantia</t>
  </si>
  <si>
    <t>SG</t>
  </si>
  <si>
    <t>Risco</t>
  </si>
  <si>
    <t>R</t>
  </si>
  <si>
    <t>DF</t>
  </si>
  <si>
    <t>L</t>
  </si>
  <si>
    <t>Tributos (impostos COFINS 3,0%, e PIS 0,65%)</t>
  </si>
  <si>
    <t>CP</t>
  </si>
  <si>
    <t>Tributos (ISS)</t>
  </si>
  <si>
    <t>Tributos (Contribuição Previdenciária sobre a Receita Bruta - 0% ou 4,5% - Desoneração)</t>
  </si>
  <si>
    <t>BDI SEM desoneração (Fórmula Acordão TCU)</t>
  </si>
  <si>
    <t>Os valores de BDI foram calculados com o emprego da fórmula:</t>
  </si>
  <si>
    <t>BDI = (1+AC+SG+R)*(1+DF)*(1+L)/(1-CP-ISS-CPRB)-1</t>
  </si>
  <si>
    <t>Presidente Castello Branco/SC</t>
  </si>
  <si>
    <t>___________________________</t>
  </si>
  <si>
    <t>Responsável Técnico</t>
  </si>
  <si>
    <t>Renan Marcos Muraro</t>
  </si>
  <si>
    <t>CREA: 165.837-1/SC</t>
  </si>
  <si>
    <t>Tipo de Obra: Construção e Reforma de Edifícios</t>
  </si>
  <si>
    <t>OBRA: REFORMA DO GINÁSIO DE ESPORTES - CASTELÃO (LOTE 01 - CIVIL)</t>
  </si>
  <si>
    <t>ORÇAMENTO</t>
  </si>
  <si>
    <t>Limpeza das canchas</t>
  </si>
  <si>
    <t>BASE 100395</t>
  </si>
  <si>
    <t>RETIRADA E POSTERIOR RECOLOCAÇÃO DAS ESTRUTURAS DE MADEIRA DE FUNDOS E DAS BORDAS LATERAIS DAS CANCHAS DE BOCHA</t>
  </si>
  <si>
    <t>Remoção das estruturas de madeira de fundos e das bordas das canchas de bocha para execução dos serviços de contrapiso e sintético e posterior recolocação das estruturas com substituição das tábuas danificadas</t>
  </si>
  <si>
    <t>BASE SINAPI 6193</t>
  </si>
  <si>
    <t xml:space="preserve">TABUA NAO APARELHADA *4,0 X 30* CM, EM EUCALIPTO VERMELHO OU EQUIVALENTE DA REGIAO - BRUTA                                                                                                                                                                               </t>
  </si>
  <si>
    <t>Substituição da primeira tábua de baixo das estruturas de madeira dos fundos das canchas 4 x 30 x 400</t>
  </si>
  <si>
    <t xml:space="preserve">TABUA NAO APARELHADA *2,5 X 30* CM, EM EUCALIPTO VERMELHO OU EQUIVALENTE DA REGIAO - BRUTA                                                                                                                                                                               </t>
  </si>
  <si>
    <t>Substituição das tábuas danificadas das estruturas de madeira dos fundos, complementação de tábuas faltantes das bordas, inclusive para ajuste da altura das bordas em 30cm após a elevação do piso devido a execução do contrapiso e sintético das canchas</t>
  </si>
  <si>
    <t>CONTRAPISO EM ARGAMASSA TRAÇO 1:4 (CIMENTO E AREIA), PREPARO MECÂNICO COM BETONEIRA 400 L, APLICADO EM ÁREAS SECAS SOBRE LAJE, NÃO ADERIDO, ACABAMENTO NÃO REFORÇADO, ESPESSURA 4CM. AF_07/2021</t>
  </si>
  <si>
    <t>Contrapiso para cancha de bocha;</t>
  </si>
  <si>
    <t>COMPOSIÇÃO 10</t>
  </si>
  <si>
    <t>EXECUÇÃO DE "SINTÉTICO" PARA CANCHA DE BOCHA, CONTEMPLANDO IMPERMEABILIZAÇÃO COM EMULSÃO ASFÁLTICA, 4 DEMÃOS CRUZADAS, CAMADA DE REVESTIMENTO ASFÁLTICO LÍQUIDO, ESPESSURA 1,5cm E DUAS CAMADAS DE EMBORRACHADO COM APLICAÇÃO DE TELA DE NYLON, CONFORME MEMORIAL DESCRITIVO ANEXO</t>
  </si>
  <si>
    <t>BASE 87623</t>
  </si>
  <si>
    <t>CONTRAPISO EM ARGAMASSA PRONTA, PREPARO MECÂNICO COM MISTURADOR 300 KG, APLICADO EM ÁREAS SECAS SOBRE LAJE, ADERIDO, ESPESSURA VARIÁVEL. AF_07/2021</t>
  </si>
  <si>
    <t>BASE 10708</t>
  </si>
  <si>
    <t xml:space="preserve">CARPETE 100% POLIESTER EM MANTA PARA CANCHA DE BOCHA, E = 3 MM (INSTALADO), INCLUSO MATERIAIS E MÃO DE OBRA, GRAMATURA 600gr/m2.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</si>
  <si>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Revestimento de piso (cinza claro), borda/rodapé (vermelho ou azul), fundos e das paredes (grafite) das canchas. Obs. As cores deverão ser previamente aprovadas pela fiscalização, observando-se o contraste entre piso, bordas e paredes;</t>
  </si>
  <si>
    <t>FABRICAÇÃO, MONTAGEM E DESMONTAGEM DE FÔRMA PARA VIGA BALDRAME, EM MADEIRA SERRADA, E=25 MM, 4 UTILIZAÇÕES. AF_01/2024</t>
  </si>
  <si>
    <t>Ajuste na altura da viga de borda das canchas, sendo h=30cm</t>
  </si>
  <si>
    <t>ARMAÇÃO DE PILAR OU VIGA DE ESTRUTURA CONVENCIONAL DE CONCRETO ARMADO UTILIZANDO AÇO CA-50 DE 6,3 MM - MONTAGEM. AF_06/2022</t>
  </si>
  <si>
    <t>CONCRETAGEM DE VIGAS E LAJES, FCK=25 MPA, PARA LAJES MACIÇAS OU NERVURADAS COM GRUA DE CAÇAMBA DE 500 L EM EDIFICAÇÃO DE MULTIPAVIMENTOS ATÉ 16 ANDARES - LANÇAMENTO, ADENSAMENTO E ACABAMENTO. AF_02/2022</t>
  </si>
  <si>
    <t>DEMARCAÇÃO DAS LINHAS DE JOGO PARA CANCHA DE BOCHA COM FITA 3M LINHA CHAPEADOR</t>
  </si>
  <si>
    <t>Demarcação das linhas de jogo, conforme normas ofciiais, sobre carpete (canchas de bocha);</t>
  </si>
  <si>
    <t>COMPOSIÇÃO 05</t>
  </si>
  <si>
    <t>Fornecimento e instalação de placar eletrônico;</t>
  </si>
  <si>
    <t>Serviço especializado (canchas de bocha)</t>
  </si>
  <si>
    <t>Serviço especializado (impermeabilização de cobertura com manta asfáltica)</t>
  </si>
  <si>
    <t>MÊS 12</t>
  </si>
  <si>
    <t>Pintura dos pilares, vigas e detalhes de concreto aparentes da fachada externa norte e oeste da edificação; Inclusive pintura dos pilares e viga do hall da parte superior</t>
  </si>
  <si>
    <t>Janela de correr em alumínio e vidro;</t>
  </si>
  <si>
    <t>13.10.1</t>
  </si>
  <si>
    <t>13.10.2</t>
  </si>
  <si>
    <t>104237</t>
  </si>
  <si>
    <t>87894</t>
  </si>
  <si>
    <t>13.10.3</t>
  </si>
  <si>
    <t>13.10.4</t>
  </si>
  <si>
    <t>88489</t>
  </si>
  <si>
    <t>Revestimento das fachadas (norte e oeste) sobre tijolo a vista, inclusive nas paredes sobre o hall e sobre a copa da parte superior da edificação e as muretas da escadaria</t>
  </si>
  <si>
    <t>BASE 102162</t>
  </si>
  <si>
    <t>INSTALAÇÃO DE VIDRO CANELADO INCOLOR, E = 4 MM, EM ESQUADRIA DE ALUMÍNIO OU PVC, FIXADO COM BAGUETE. AF_01/2021_PS</t>
  </si>
  <si>
    <t>8.7.3</t>
  </si>
  <si>
    <t>101965</t>
  </si>
  <si>
    <t>PEITORIL LINEAR EM GRANITO OU MÁRMORE, L = 15CM, COMPRIMENTO DE ATÉ 2M, ASSENTADO COM ARGAMASSA 1:6 COM ADITIVO. AF_11/2020</t>
  </si>
  <si>
    <t>11.1.3</t>
  </si>
  <si>
    <t>11.8.1</t>
  </si>
  <si>
    <t>11.8.2</t>
  </si>
  <si>
    <t>11.9.1</t>
  </si>
  <si>
    <t>11.10.1</t>
  </si>
  <si>
    <t>11.11.1</t>
  </si>
  <si>
    <t>11.11.2</t>
  </si>
  <si>
    <t>11.11.3</t>
  </si>
  <si>
    <t>11.11.4</t>
  </si>
  <si>
    <t>11.11.5</t>
  </si>
  <si>
    <t>11.11.6</t>
  </si>
  <si>
    <t>11.11.7</t>
  </si>
  <si>
    <t>11.11.8</t>
  </si>
  <si>
    <t>11.11.9</t>
  </si>
  <si>
    <t>11.11.10</t>
  </si>
  <si>
    <t>11.11.11</t>
  </si>
  <si>
    <t>11.11.12</t>
  </si>
  <si>
    <t>11.11.13</t>
  </si>
  <si>
    <t>Impermeabilização de calhas de concreto com emulsão asfáltica, 2 demãos (todas as calhas de concreto da parte inferior e da calha sobre copa e vestiários da parte superior) impermeabilizar fundo, paredes internas e topo;</t>
  </si>
  <si>
    <t>EMBOÇO OU MASSA ÚNICA EM ARGAMASSA TRAÇO 1:2:8, PREPARO MECÂNICA COM BETONEIRA 400 L, APLICADA MANUALMENTE EM PANOS DE FACHADA SEM PRESENÇA DE VÃOS, ESPESSURA DE 35 MM, ACESSO POR ANDAIME. AF_08/2022 (INCLUSO ANDAIME)</t>
  </si>
  <si>
    <t>13.9.8</t>
  </si>
  <si>
    <t>13.9.10</t>
  </si>
  <si>
    <t>89403</t>
  </si>
  <si>
    <t>TUBO, PVC, SOLDÁVEL, DN 32MM, INSTALADO EM RAMAL DE DISTRIBUIÇÃO DE ÁGUA - FORNECIMENTO E INSTALAÇÃO. AF_06/2022</t>
  </si>
  <si>
    <t>89402</t>
  </si>
  <si>
    <t>TUBO, PVC, SOLDÁVEL, DN 25MM, INSTALADO EM RAMAL DE DISTRIBUIÇÃO DE ÁGUA - FORNECIMENTO E INSTALAÇÃO. AF_06/2022</t>
  </si>
  <si>
    <t>89576</t>
  </si>
  <si>
    <t>TUBO PVC, SÉRIE R, ÁGUA PLUVIAL, DN 75 MM, FORNECIDO E INSTALADO EM CONDUTORES VERTICAIS DE ÁGUAS PLUVIAIS. AF_06/2022</t>
  </si>
  <si>
    <t>91174</t>
  </si>
  <si>
    <t>FIXAÇÃO DE TUBOS VERTICAIS DE PVC ÁGUA, PVC ESGOTO, PVC ÁGUA PLUVIAL, CPVC, PPR, COBRE OU AÇO, DIÂMETROS MAIORES QUE 40 MM E MENORES OU IGUAIS A 75 MM, COM ABRAÇADEIRA METÁLICA RÍGIDA TIPO U PERFIL 2 1/2", FIXADA EM PERFILADO EM PAREDE. AF_09/2023_PS</t>
  </si>
  <si>
    <t>Serviço "sintético" a ser realizado por empresa especializada, com comprovação de capacidade técnica através de apresentação de no mínimo 2 atestados de execução de serviço semelhante emitidos por entidade pública ou privada</t>
  </si>
  <si>
    <t>Execução do "cavalinho", serviço a ser realizado nas bordas do piso das canchas, após o "sintético", com argamassa, por empresa especializada na execução de canchas de bocha, com comprovação de execução, por pelo menos 2 vezes, de serviços semelhantes;</t>
  </si>
  <si>
    <t>ART 9431841-8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</si>
</sst>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164" formatCode="_-* #,##0.00_-;\-* #,##0.00_-;_-* &quot;-&quot;??_-;_-@"/>
    <numFmt numFmtId="165" formatCode="_-&quot;R$&quot;* #,##0.00_-;\-&quot;R$&quot;* #,##0.00_-;_-&quot;R$&quot;* &quot;-&quot;??_-;_-@"/>
    <numFmt numFmtId="166" formatCode="[$R$ -416]#,##0.00"/>
    <numFmt numFmtId="167" formatCode="&quot;R$&quot;#,##0.00;[Red]\-&quot;R$&quot;#,##0.00"/>
    <numFmt numFmtId="168" formatCode="0.0"/>
    <numFmt numFmtId="169" formatCode="00"/>
    <numFmt numFmtId="170" formatCode="_(&quot;R$ &quot;* #,##0.00_);_(&quot;R$ &quot;* \(#,##0.00\);_(&quot;R$ &quot;* &quot;-&quot;??_);_(@_)"/>
    <numFmt numFmtId="171" formatCode="_(* #,##0.00_);_(* \(#,##0.00\);_(* &quot;-&quot;??_);_(@_)"/>
    <numFmt numFmtId="172" formatCode="0.0%"/>
  </numFmts>
  <fonts count="49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2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</font>
    <font>
      <sz val="11"/>
      <color rgb="FF000000"/>
      <name val="Calibri"/>
      <family val="2"/>
    </font>
    <font>
      <sz val="11"/>
      <color rgb="FF434343"/>
      <name val="Calibri"/>
      <family val="2"/>
    </font>
    <font>
      <b/>
      <sz val="14"/>
      <color rgb="FFFF0000"/>
      <name val="Calibri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Arial"/>
      <family val="2"/>
    </font>
    <font>
      <sz val="8"/>
      <name val="Arial"/>
      <family val="2"/>
      <scheme val="minor"/>
    </font>
    <font>
      <b/>
      <sz val="14"/>
      <name val="Calibri"/>
      <family val="2"/>
    </font>
    <font>
      <b/>
      <sz val="11"/>
      <name val="Calibri"/>
      <family val="2"/>
    </font>
    <font>
      <sz val="11"/>
      <name val="Arial"/>
      <family val="2"/>
      <scheme val="minor"/>
    </font>
    <font>
      <vertAlign val="superscript"/>
      <sz val="11"/>
      <color theme="1"/>
      <name val="Calibri"/>
      <family val="2"/>
    </font>
    <font>
      <b/>
      <sz val="20"/>
      <color theme="1"/>
      <name val="Calibri"/>
      <family val="2"/>
    </font>
    <font>
      <sz val="2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vertAlign val="superscript"/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5"/>
      <color theme="1"/>
      <name val="Arial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6"/>
      <name val="Trebuchet MS"/>
      <family val="2"/>
    </font>
    <font>
      <sz val="9"/>
      <name val="Trebuchet MS"/>
      <family val="2"/>
    </font>
    <font>
      <b/>
      <sz val="12"/>
      <name val="Trebuchet MS"/>
      <family val="2"/>
    </font>
    <font>
      <b/>
      <sz val="9"/>
      <name val="Trebuchet MS"/>
      <family val="2"/>
    </font>
    <font>
      <b/>
      <sz val="14"/>
      <name val="Trebuchet MS"/>
      <family val="2"/>
    </font>
    <font>
      <sz val="12"/>
      <name val="Trebuchet MS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76A5AF"/>
        <bgColor rgb="FF76A5AF"/>
      </patternFill>
    </fill>
    <fill>
      <patternFill patternType="solid">
        <fgColor rgb="FFA8D08D"/>
        <bgColor rgb="FFA8D08D"/>
      </patternFill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</borders>
  <cellStyleXfs count="6">
    <xf numFmtId="0" fontId="0" fillId="0" borderId="0"/>
    <xf numFmtId="0" fontId="37" fillId="0" borderId="32"/>
    <xf numFmtId="170" fontId="37" fillId="0" borderId="32" applyFont="0" applyFill="0" applyBorder="0" applyAlignment="0" applyProtection="0"/>
    <xf numFmtId="9" fontId="37" fillId="0" borderId="32" applyFont="0" applyFill="0" applyBorder="0" applyAlignment="0" applyProtection="0"/>
    <xf numFmtId="0" fontId="46" fillId="0" borderId="32"/>
    <xf numFmtId="9" fontId="46" fillId="0" borderId="32" applyFont="0" applyFill="0" applyBorder="0" applyAlignment="0" applyProtection="0"/>
  </cellStyleXfs>
  <cellXfs count="570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5" borderId="16" xfId="0" applyFont="1" applyFill="1" applyBorder="1" applyAlignment="1">
      <alignment vertical="center"/>
    </xf>
    <xf numFmtId="165" fontId="10" fillId="5" borderId="17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/>
    </xf>
    <xf numFmtId="165" fontId="11" fillId="0" borderId="8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 vertical="center"/>
    </xf>
    <xf numFmtId="165" fontId="11" fillId="0" borderId="11" xfId="0" applyNumberFormat="1" applyFont="1" applyBorder="1" applyAlignment="1">
      <alignment horizontal="center" vertical="center"/>
    </xf>
    <xf numFmtId="165" fontId="12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 wrapText="1"/>
    </xf>
    <xf numFmtId="165" fontId="5" fillId="0" borderId="23" xfId="0" applyNumberFormat="1" applyFont="1" applyBorder="1" applyAlignment="1">
      <alignment horizontal="center" vertical="center"/>
    </xf>
    <xf numFmtId="165" fontId="11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 wrapText="1"/>
    </xf>
    <xf numFmtId="165" fontId="5" fillId="0" borderId="24" xfId="0" applyNumberFormat="1" applyFont="1" applyBorder="1" applyAlignment="1">
      <alignment horizontal="center" vertical="center"/>
    </xf>
    <xf numFmtId="165" fontId="11" fillId="0" borderId="2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/>
    </xf>
    <xf numFmtId="165" fontId="11" fillId="0" borderId="13" xfId="0" applyNumberFormat="1" applyFont="1" applyBorder="1" applyAlignment="1">
      <alignment horizontal="center" vertical="center"/>
    </xf>
    <xf numFmtId="0" fontId="13" fillId="5" borderId="16" xfId="0" applyFont="1" applyFill="1" applyBorder="1" applyAlignment="1">
      <alignment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165" fontId="5" fillId="0" borderId="23" xfId="0" applyNumberFormat="1" applyFont="1" applyBorder="1" applyAlignment="1">
      <alignment vertical="center" wrapText="1"/>
    </xf>
    <xf numFmtId="2" fontId="10" fillId="5" borderId="16" xfId="0" applyNumberFormat="1" applyFont="1" applyFill="1" applyBorder="1" applyAlignment="1">
      <alignment vertical="center"/>
    </xf>
    <xf numFmtId="0" fontId="4" fillId="6" borderId="11" xfId="0" applyFont="1" applyFill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10" fillId="5" borderId="13" xfId="0" applyFont="1" applyFill="1" applyBorder="1" applyAlignment="1">
      <alignment vertical="center"/>
    </xf>
    <xf numFmtId="0" fontId="13" fillId="5" borderId="13" xfId="0" applyFont="1" applyFill="1" applyBorder="1" applyAlignment="1">
      <alignment vertical="center"/>
    </xf>
    <xf numFmtId="165" fontId="10" fillId="5" borderId="14" xfId="0" applyNumberFormat="1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5" fontId="5" fillId="0" borderId="20" xfId="0" applyNumberFormat="1" applyFont="1" applyBorder="1" applyAlignment="1">
      <alignment horizontal="center" vertical="center" wrapText="1"/>
    </xf>
    <xf numFmtId="165" fontId="5" fillId="0" borderId="20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165" fontId="10" fillId="3" borderId="6" xfId="0" applyNumberFormat="1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>
      <alignment horizontal="center" vertical="center"/>
    </xf>
    <xf numFmtId="165" fontId="10" fillId="2" borderId="17" xfId="0" applyNumberFormat="1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/>
    </xf>
    <xf numFmtId="165" fontId="5" fillId="0" borderId="6" xfId="0" applyNumberFormat="1" applyFont="1" applyBorder="1"/>
    <xf numFmtId="0" fontId="14" fillId="9" borderId="32" xfId="0" applyFont="1" applyFill="1" applyBorder="1" applyAlignment="1">
      <alignment horizontal="center"/>
    </xf>
    <xf numFmtId="0" fontId="17" fillId="9" borderId="32" xfId="0" applyFont="1" applyFill="1" applyBorder="1" applyAlignment="1">
      <alignment horizontal="center"/>
    </xf>
    <xf numFmtId="0" fontId="14" fillId="9" borderId="32" xfId="0" applyFont="1" applyFill="1" applyBorder="1" applyAlignment="1">
      <alignment horizontal="right"/>
    </xf>
    <xf numFmtId="166" fontId="14" fillId="9" borderId="3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167" fontId="5" fillId="9" borderId="6" xfId="0" applyNumberFormat="1" applyFont="1" applyFill="1" applyBorder="1" applyAlignment="1">
      <alignment horizontal="center" vertical="center" wrapText="1"/>
    </xf>
    <xf numFmtId="167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167" fontId="5" fillId="0" borderId="6" xfId="0" applyNumberFormat="1" applyFont="1" applyBorder="1" applyAlignment="1">
      <alignment horizontal="center" wrapText="1"/>
    </xf>
    <xf numFmtId="2" fontId="5" fillId="0" borderId="6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0" borderId="33" xfId="0" applyNumberFormat="1" applyFont="1" applyBorder="1" applyAlignment="1">
      <alignment horizontal="center" vertical="center" wrapText="1"/>
    </xf>
    <xf numFmtId="165" fontId="5" fillId="0" borderId="3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65" fontId="11" fillId="0" borderId="34" xfId="0" applyNumberFormat="1" applyFont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166" fontId="14" fillId="9" borderId="6" xfId="0" applyNumberFormat="1" applyFont="1" applyFill="1" applyBorder="1" applyAlignment="1">
      <alignment horizontal="center" vertical="center"/>
    </xf>
    <xf numFmtId="0" fontId="14" fillId="9" borderId="32" xfId="0" applyFont="1" applyFill="1" applyBorder="1" applyAlignment="1">
      <alignment horizontal="center" vertical="center"/>
    </xf>
    <xf numFmtId="0" fontId="17" fillId="9" borderId="32" xfId="0" applyFont="1" applyFill="1" applyBorder="1" applyAlignment="1">
      <alignment horizontal="center" vertical="center"/>
    </xf>
    <xf numFmtId="166" fontId="14" fillId="9" borderId="32" xfId="0" applyNumberFormat="1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10" borderId="36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18" fillId="5" borderId="39" xfId="0" applyNumberFormat="1" applyFont="1" applyFill="1" applyBorder="1" applyAlignment="1">
      <alignment horizontal="center" vertical="center"/>
    </xf>
    <xf numFmtId="0" fontId="18" fillId="5" borderId="39" xfId="0" applyFont="1" applyFill="1" applyBorder="1" applyAlignment="1">
      <alignment horizontal="center" vertical="center"/>
    </xf>
    <xf numFmtId="165" fontId="18" fillId="5" borderId="39" xfId="0" applyNumberFormat="1" applyFont="1" applyFill="1" applyBorder="1" applyAlignment="1">
      <alignment horizontal="center" vertical="center"/>
    </xf>
    <xf numFmtId="165" fontId="10" fillId="5" borderId="39" xfId="0" applyNumberFormat="1" applyFont="1" applyFill="1" applyBorder="1" applyAlignment="1">
      <alignment horizontal="center" vertical="center"/>
    </xf>
    <xf numFmtId="165" fontId="5" fillId="0" borderId="40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64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165" fontId="20" fillId="0" borderId="6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65" fontId="20" fillId="0" borderId="5" xfId="0" applyNumberFormat="1" applyFont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/>
    </xf>
    <xf numFmtId="165" fontId="20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65" fontId="22" fillId="0" borderId="13" xfId="0" applyNumberFormat="1" applyFont="1" applyBorder="1" applyAlignment="1">
      <alignment horizontal="center" vertical="center" wrapText="1"/>
    </xf>
    <xf numFmtId="165" fontId="22" fillId="0" borderId="23" xfId="0" applyNumberFormat="1" applyFont="1" applyBorder="1" applyAlignment="1">
      <alignment horizontal="center" vertical="center" wrapText="1"/>
    </xf>
    <xf numFmtId="165" fontId="22" fillId="0" borderId="23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165" fontId="20" fillId="0" borderId="8" xfId="0" applyNumberFormat="1" applyFont="1" applyBorder="1" applyAlignment="1">
      <alignment horizontal="center" vertical="center" wrapText="1"/>
    </xf>
    <xf numFmtId="165" fontId="20" fillId="0" borderId="8" xfId="0" applyNumberFormat="1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65" fontId="20" fillId="0" borderId="11" xfId="0" applyNumberFormat="1" applyFont="1" applyBorder="1" applyAlignment="1">
      <alignment horizontal="center" vertical="center" wrapText="1"/>
    </xf>
    <xf numFmtId="2" fontId="20" fillId="0" borderId="11" xfId="0" applyNumberFormat="1" applyFont="1" applyBorder="1" applyAlignment="1">
      <alignment horizontal="center" vertical="center"/>
    </xf>
    <xf numFmtId="165" fontId="20" fillId="0" borderId="11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165" fontId="20" fillId="0" borderId="13" xfId="0" applyNumberFormat="1" applyFont="1" applyBorder="1" applyAlignment="1">
      <alignment horizontal="center" vertical="center"/>
    </xf>
    <xf numFmtId="2" fontId="20" fillId="0" borderId="13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165" fontId="20" fillId="0" borderId="23" xfId="0" applyNumberFormat="1" applyFont="1" applyBorder="1" applyAlignment="1">
      <alignment horizontal="center" vertical="center" wrapText="1"/>
    </xf>
    <xf numFmtId="165" fontId="20" fillId="0" borderId="23" xfId="0" applyNumberFormat="1" applyFont="1" applyBorder="1" applyAlignment="1">
      <alignment vertical="center" wrapText="1"/>
    </xf>
    <xf numFmtId="165" fontId="20" fillId="0" borderId="23" xfId="0" applyNumberFormat="1" applyFont="1" applyBorder="1" applyAlignment="1">
      <alignment horizontal="center" vertical="center"/>
    </xf>
    <xf numFmtId="2" fontId="20" fillId="0" borderId="23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0" fillId="0" borderId="0" xfId="0"/>
    <xf numFmtId="165" fontId="20" fillId="0" borderId="18" xfId="0" applyNumberFormat="1" applyFont="1" applyBorder="1" applyAlignment="1">
      <alignment horizontal="center" vertical="center" wrapText="1"/>
    </xf>
    <xf numFmtId="165" fontId="20" fillId="0" borderId="2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5" fillId="5" borderId="16" xfId="0" applyFont="1" applyFill="1" applyBorder="1" applyAlignment="1">
      <alignment vertical="center"/>
    </xf>
    <xf numFmtId="2" fontId="25" fillId="5" borderId="16" xfId="0" applyNumberFormat="1" applyFont="1" applyFill="1" applyBorder="1" applyAlignment="1">
      <alignment vertical="center"/>
    </xf>
    <xf numFmtId="165" fontId="25" fillId="5" borderId="17" xfId="0" applyNumberFormat="1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2" fontId="20" fillId="0" borderId="21" xfId="0" applyNumberFormat="1" applyFont="1" applyBorder="1" applyAlignment="1">
      <alignment horizontal="center" vertical="center"/>
    </xf>
    <xf numFmtId="165" fontId="20" fillId="0" borderId="21" xfId="0" applyNumberFormat="1" applyFont="1" applyBorder="1" applyAlignment="1">
      <alignment horizontal="center" vertical="center"/>
    </xf>
    <xf numFmtId="0" fontId="26" fillId="6" borderId="23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65" fontId="20" fillId="0" borderId="13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0" fontId="27" fillId="0" borderId="0" xfId="0" applyFont="1"/>
    <xf numFmtId="0" fontId="26" fillId="6" borderId="8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165" fontId="20" fillId="0" borderId="20" xfId="0" applyNumberFormat="1" applyFont="1" applyBorder="1" applyAlignment="1">
      <alignment horizontal="center" vertical="center" wrapText="1"/>
    </xf>
    <xf numFmtId="165" fontId="20" fillId="0" borderId="20" xfId="0" applyNumberFormat="1" applyFont="1" applyBorder="1" applyAlignment="1">
      <alignment horizontal="center" vertical="center"/>
    </xf>
    <xf numFmtId="2" fontId="20" fillId="0" borderId="20" xfId="0" applyNumberFormat="1" applyFont="1" applyBorder="1" applyAlignment="1">
      <alignment horizontal="center" vertical="center"/>
    </xf>
    <xf numFmtId="0" fontId="26" fillId="6" borderId="23" xfId="0" applyFont="1" applyFill="1" applyBorder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165" fontId="20" fillId="0" borderId="20" xfId="0" applyNumberFormat="1" applyFont="1" applyBorder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165" fontId="5" fillId="0" borderId="47" xfId="0" applyNumberFormat="1" applyFont="1" applyBorder="1" applyAlignment="1">
      <alignment horizontal="left" vertical="center" wrapText="1"/>
    </xf>
    <xf numFmtId="165" fontId="5" fillId="0" borderId="48" xfId="0" applyNumberFormat="1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165" fontId="5" fillId="0" borderId="50" xfId="0" applyNumberFormat="1" applyFont="1" applyBorder="1" applyAlignment="1">
      <alignment horizontal="left" vertical="center" wrapText="1"/>
    </xf>
    <xf numFmtId="0" fontId="5" fillId="0" borderId="44" xfId="0" applyFont="1" applyBorder="1" applyAlignment="1">
      <alignment vertical="center" wrapText="1"/>
    </xf>
    <xf numFmtId="0" fontId="21" fillId="0" borderId="44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164" fontId="20" fillId="0" borderId="17" xfId="0" applyNumberFormat="1" applyFont="1" applyBorder="1" applyAlignment="1">
      <alignment horizontal="center" vertical="center"/>
    </xf>
    <xf numFmtId="165" fontId="20" fillId="0" borderId="17" xfId="0" applyNumberFormat="1" applyFont="1" applyBorder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0" fillId="0" borderId="0" xfId="0"/>
    <xf numFmtId="165" fontId="5" fillId="0" borderId="18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165" fontId="20" fillId="0" borderId="21" xfId="0" applyNumberFormat="1" applyFont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25" fillId="5" borderId="13" xfId="0" applyFont="1" applyFill="1" applyBorder="1" applyAlignment="1">
      <alignment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0" fontId="0" fillId="0" borderId="0" xfId="0"/>
    <xf numFmtId="165" fontId="5" fillId="0" borderId="19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7" fillId="0" borderId="43" xfId="0" applyFont="1" applyBorder="1"/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31" fillId="0" borderId="58" xfId="0" applyFont="1" applyBorder="1"/>
    <xf numFmtId="0" fontId="31" fillId="0" borderId="60" xfId="0" applyFont="1" applyBorder="1"/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1" fillId="0" borderId="32" xfId="0" applyFont="1" applyBorder="1" applyAlignment="1">
      <alignment horizontal="right"/>
    </xf>
    <xf numFmtId="49" fontId="31" fillId="0" borderId="60" xfId="0" applyNumberFormat="1" applyFont="1" applyBorder="1" applyAlignment="1">
      <alignment horizontal="right"/>
    </xf>
    <xf numFmtId="0" fontId="4" fillId="0" borderId="6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31" fillId="0" borderId="64" xfId="0" applyFont="1" applyBorder="1" applyAlignment="1">
      <alignment horizontal="right"/>
    </xf>
    <xf numFmtId="49" fontId="31" fillId="0" borderId="62" xfId="0" applyNumberFormat="1" applyFont="1" applyBorder="1" applyAlignment="1">
      <alignment horizontal="right"/>
    </xf>
    <xf numFmtId="0" fontId="2" fillId="0" borderId="57" xfId="0" applyFont="1" applyBorder="1" applyAlignment="1">
      <alignment horizontal="center" vertical="center"/>
    </xf>
    <xf numFmtId="0" fontId="0" fillId="0" borderId="63" xfId="0" applyBorder="1"/>
    <xf numFmtId="0" fontId="2" fillId="0" borderId="59" xfId="0" applyFont="1" applyBorder="1" applyAlignment="1">
      <alignment horizontal="center" vertical="center"/>
    </xf>
    <xf numFmtId="0" fontId="0" fillId="0" borderId="32" xfId="0" applyBorder="1"/>
    <xf numFmtId="0" fontId="31" fillId="0" borderId="32" xfId="0" applyFont="1" applyBorder="1"/>
    <xf numFmtId="0" fontId="31" fillId="0" borderId="60" xfId="0" applyFont="1" applyBorder="1" applyAlignment="1">
      <alignment horizontal="right"/>
    </xf>
    <xf numFmtId="0" fontId="31" fillId="0" borderId="63" xfId="0" applyFont="1" applyBorder="1"/>
    <xf numFmtId="0" fontId="33" fillId="0" borderId="32" xfId="0" applyFont="1" applyBorder="1"/>
    <xf numFmtId="0" fontId="33" fillId="0" borderId="64" xfId="0" applyFont="1" applyBorder="1"/>
    <xf numFmtId="0" fontId="0" fillId="0" borderId="58" xfId="0" applyBorder="1"/>
    <xf numFmtId="0" fontId="0" fillId="0" borderId="60" xfId="0" applyBorder="1"/>
    <xf numFmtId="0" fontId="5" fillId="0" borderId="32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right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4" fillId="8" borderId="35" xfId="0" applyFont="1" applyFill="1" applyBorder="1" applyAlignment="1">
      <alignment horizontal="center" vertical="center"/>
    </xf>
    <xf numFmtId="0" fontId="14" fillId="8" borderId="35" xfId="0" applyFont="1" applyFill="1" applyBorder="1" applyAlignment="1">
      <alignment horizontal="center" vertical="center" wrapText="1"/>
    </xf>
    <xf numFmtId="0" fontId="0" fillId="0" borderId="57" xfId="0" applyBorder="1"/>
    <xf numFmtId="0" fontId="0" fillId="0" borderId="59" xfId="0" applyBorder="1"/>
    <xf numFmtId="0" fontId="35" fillId="0" borderId="32" xfId="0" applyFont="1" applyBorder="1" applyAlignment="1">
      <alignment horizontal="left"/>
    </xf>
    <xf numFmtId="0" fontId="0" fillId="0" borderId="60" xfId="0" applyBorder="1" applyAlignment="1">
      <alignment horizontal="right"/>
    </xf>
    <xf numFmtId="0" fontId="1" fillId="0" borderId="59" xfId="0" applyFont="1" applyBorder="1"/>
    <xf numFmtId="0" fontId="1" fillId="0" borderId="32" xfId="0" applyFont="1" applyBorder="1"/>
    <xf numFmtId="0" fontId="0" fillId="0" borderId="61" xfId="0" applyBorder="1"/>
    <xf numFmtId="0" fontId="0" fillId="0" borderId="64" xfId="0" applyBorder="1"/>
    <xf numFmtId="0" fontId="0" fillId="0" borderId="62" xfId="0" applyBorder="1"/>
    <xf numFmtId="0" fontId="0" fillId="0" borderId="32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165" fontId="18" fillId="5" borderId="43" xfId="0" applyNumberFormat="1" applyFont="1" applyFill="1" applyBorder="1" applyAlignment="1">
      <alignment horizontal="center" vertical="center"/>
    </xf>
    <xf numFmtId="0" fontId="38" fillId="0" borderId="32" xfId="1" applyFont="1"/>
    <xf numFmtId="0" fontId="38" fillId="0" borderId="32" xfId="1" applyFont="1" applyAlignment="1">
      <alignment vertical="center"/>
    </xf>
    <xf numFmtId="0" fontId="39" fillId="0" borderId="32" xfId="1" applyFont="1" applyAlignment="1">
      <alignment vertical="center"/>
    </xf>
    <xf numFmtId="168" fontId="39" fillId="0" borderId="60" xfId="1" applyNumberFormat="1" applyFont="1" applyBorder="1" applyAlignment="1">
      <alignment vertical="center"/>
    </xf>
    <xf numFmtId="14" fontId="39" fillId="0" borderId="32" xfId="1" applyNumberFormat="1" applyFont="1" applyAlignment="1">
      <alignment vertical="center"/>
    </xf>
    <xf numFmtId="0" fontId="39" fillId="0" borderId="60" xfId="1" applyFont="1" applyBorder="1" applyAlignment="1">
      <alignment vertical="center"/>
    </xf>
    <xf numFmtId="0" fontId="39" fillId="0" borderId="32" xfId="1" applyFont="1" applyAlignment="1">
      <alignment vertical="center" wrapText="1"/>
    </xf>
    <xf numFmtId="0" fontId="38" fillId="0" borderId="32" xfId="1" applyFont="1" applyAlignment="1">
      <alignment vertical="center" wrapText="1"/>
    </xf>
    <xf numFmtId="9" fontId="39" fillId="0" borderId="32" xfId="1" applyNumberFormat="1" applyFont="1" applyAlignment="1">
      <alignment vertical="center" wrapText="1"/>
    </xf>
    <xf numFmtId="0" fontId="39" fillId="0" borderId="60" xfId="1" applyFont="1" applyBorder="1" applyAlignment="1">
      <alignment vertical="center" wrapText="1"/>
    </xf>
    <xf numFmtId="9" fontId="38" fillId="0" borderId="64" xfId="1" applyNumberFormat="1" applyFont="1" applyBorder="1" applyAlignment="1">
      <alignment vertical="center" wrapText="1"/>
    </xf>
    <xf numFmtId="0" fontId="39" fillId="0" borderId="64" xfId="1" applyFont="1" applyBorder="1" applyAlignment="1">
      <alignment vertical="center" wrapText="1"/>
    </xf>
    <xf numFmtId="0" fontId="39" fillId="0" borderId="62" xfId="1" applyFont="1" applyBorder="1" applyAlignment="1">
      <alignment vertical="center" wrapText="1"/>
    </xf>
    <xf numFmtId="0" fontId="41" fillId="0" borderId="55" xfId="1" applyFont="1" applyBorder="1" applyAlignment="1">
      <alignment horizontal="center" vertical="center"/>
    </xf>
    <xf numFmtId="0" fontId="39" fillId="0" borderId="55" xfId="1" applyFont="1" applyBorder="1" applyAlignment="1">
      <alignment horizontal="left" vertical="center"/>
    </xf>
    <xf numFmtId="0" fontId="38" fillId="0" borderId="55" xfId="1" applyFont="1" applyBorder="1" applyAlignment="1">
      <alignment vertical="center" wrapText="1"/>
    </xf>
    <xf numFmtId="0" fontId="39" fillId="0" borderId="55" xfId="1" applyFont="1" applyBorder="1" applyAlignment="1">
      <alignment vertical="center" wrapText="1"/>
    </xf>
    <xf numFmtId="0" fontId="38" fillId="0" borderId="59" xfId="1" applyFont="1" applyBorder="1" applyAlignment="1">
      <alignment horizontal="center" vertical="center"/>
    </xf>
    <xf numFmtId="0" fontId="38" fillId="0" borderId="64" xfId="1" applyFont="1" applyBorder="1" applyAlignment="1">
      <alignment horizontal="center" vertical="center"/>
    </xf>
    <xf numFmtId="0" fontId="38" fillId="0" borderId="64" xfId="1" applyFont="1" applyBorder="1" applyAlignment="1">
      <alignment vertical="center"/>
    </xf>
    <xf numFmtId="0" fontId="38" fillId="0" borderId="32" xfId="1" applyFont="1" applyAlignment="1">
      <alignment vertical="top" wrapText="1"/>
    </xf>
    <xf numFmtId="0" fontId="38" fillId="0" borderId="59" xfId="1" applyFont="1" applyBorder="1"/>
    <xf numFmtId="0" fontId="39" fillId="0" borderId="44" xfId="1" applyFont="1" applyBorder="1" applyAlignment="1">
      <alignment horizontal="center" vertical="center"/>
    </xf>
    <xf numFmtId="169" fontId="41" fillId="11" borderId="44" xfId="1" applyNumberFormat="1" applyFont="1" applyFill="1" applyBorder="1" applyAlignment="1">
      <alignment horizontal="center" vertical="center"/>
    </xf>
    <xf numFmtId="170" fontId="41" fillId="11" borderId="44" xfId="2" applyFont="1" applyFill="1" applyBorder="1" applyAlignment="1">
      <alignment horizontal="left" vertical="center" shrinkToFit="1"/>
    </xf>
    <xf numFmtId="10" fontId="41" fillId="11" borderId="44" xfId="3" applyNumberFormat="1" applyFont="1" applyFill="1" applyBorder="1" applyAlignment="1">
      <alignment horizontal="center" vertical="center" shrinkToFit="1"/>
    </xf>
    <xf numFmtId="171" fontId="41" fillId="11" borderId="44" xfId="1" applyNumberFormat="1" applyFont="1" applyFill="1" applyBorder="1" applyAlignment="1">
      <alignment horizontal="center" vertical="center"/>
    </xf>
    <xf numFmtId="10" fontId="41" fillId="11" borderId="44" xfId="3" applyNumberFormat="1" applyFont="1" applyFill="1" applyBorder="1" applyAlignment="1">
      <alignment horizontal="center" vertical="center"/>
    </xf>
    <xf numFmtId="10" fontId="38" fillId="0" borderId="32" xfId="1" applyNumberFormat="1" applyFont="1"/>
    <xf numFmtId="169" fontId="41" fillId="12" borderId="44" xfId="1" applyNumberFormat="1" applyFont="1" applyFill="1" applyBorder="1" applyAlignment="1">
      <alignment horizontal="center" vertical="center"/>
    </xf>
    <xf numFmtId="170" fontId="41" fillId="0" borderId="44" xfId="2" applyFont="1" applyBorder="1" applyAlignment="1">
      <alignment horizontal="left" vertical="center"/>
    </xf>
    <xf numFmtId="10" fontId="41" fillId="0" borderId="44" xfId="3" applyNumberFormat="1" applyFont="1" applyBorder="1" applyAlignment="1">
      <alignment horizontal="center" vertical="center" shrinkToFit="1"/>
    </xf>
    <xf numFmtId="171" fontId="41" fillId="0" borderId="44" xfId="1" applyNumberFormat="1" applyFont="1" applyBorder="1" applyAlignment="1">
      <alignment horizontal="center" vertical="center"/>
    </xf>
    <xf numFmtId="10" fontId="41" fillId="0" borderId="44" xfId="3" applyNumberFormat="1" applyFont="1" applyBorder="1" applyAlignment="1">
      <alignment horizontal="center" vertical="center"/>
    </xf>
    <xf numFmtId="170" fontId="41" fillId="11" borderId="44" xfId="2" applyFont="1" applyFill="1" applyBorder="1" applyAlignment="1">
      <alignment horizontal="left" vertical="center"/>
    </xf>
    <xf numFmtId="0" fontId="38" fillId="11" borderId="32" xfId="1" applyFont="1" applyFill="1"/>
    <xf numFmtId="170" fontId="41" fillId="12" borderId="44" xfId="2" applyFont="1" applyFill="1" applyBorder="1" applyAlignment="1">
      <alignment horizontal="left" vertical="center" wrapText="1"/>
    </xf>
    <xf numFmtId="0" fontId="38" fillId="12" borderId="32" xfId="1" applyFont="1" applyFill="1"/>
    <xf numFmtId="170" fontId="43" fillId="0" borderId="44" xfId="2" applyFont="1" applyBorder="1" applyAlignment="1">
      <alignment horizontal="left" vertical="center" shrinkToFit="1"/>
    </xf>
    <xf numFmtId="10" fontId="43" fillId="0" borderId="44" xfId="1" applyNumberFormat="1" applyFont="1" applyBorder="1" applyAlignment="1">
      <alignment horizontal="center" vertical="center" shrinkToFit="1"/>
    </xf>
    <xf numFmtId="170" fontId="43" fillId="0" borderId="44" xfId="2" applyFont="1" applyBorder="1" applyAlignment="1">
      <alignment horizontal="center" vertical="center" shrinkToFit="1"/>
    </xf>
    <xf numFmtId="170" fontId="43" fillId="13" borderId="44" xfId="2" applyFont="1" applyFill="1" applyBorder="1" applyAlignment="1">
      <alignment horizontal="left" vertical="center" shrinkToFit="1"/>
    </xf>
    <xf numFmtId="10" fontId="43" fillId="13" borderId="44" xfId="1" applyNumberFormat="1" applyFont="1" applyFill="1" applyBorder="1" applyAlignment="1">
      <alignment horizontal="center" vertical="center" shrinkToFit="1"/>
    </xf>
    <xf numFmtId="170" fontId="43" fillId="13" borderId="44" xfId="2" applyFont="1" applyFill="1" applyBorder="1" applyAlignment="1">
      <alignment horizontal="center" vertical="center" shrinkToFit="1"/>
    </xf>
    <xf numFmtId="0" fontId="41" fillId="0" borderId="57" xfId="1" applyFont="1" applyBorder="1" applyAlignment="1">
      <alignment vertical="center"/>
    </xf>
    <xf numFmtId="0" fontId="41" fillId="0" borderId="63" xfId="1" applyFont="1" applyBorder="1" applyAlignment="1">
      <alignment vertical="center"/>
    </xf>
    <xf numFmtId="17" fontId="43" fillId="0" borderId="63" xfId="1" applyNumberFormat="1" applyFont="1" applyBorder="1" applyAlignment="1">
      <alignment vertical="center"/>
    </xf>
    <xf numFmtId="0" fontId="38" fillId="0" borderId="60" xfId="1" applyFont="1" applyBorder="1"/>
    <xf numFmtId="0" fontId="10" fillId="14" borderId="2" xfId="0" applyFont="1" applyFill="1" applyBorder="1" applyAlignment="1">
      <alignment vertical="center"/>
    </xf>
    <xf numFmtId="0" fontId="7" fillId="15" borderId="3" xfId="0" applyFont="1" applyFill="1" applyBorder="1" applyAlignment="1"/>
    <xf numFmtId="0" fontId="7" fillId="15" borderId="15" xfId="0" applyFont="1" applyFill="1" applyBorder="1" applyAlignment="1"/>
    <xf numFmtId="0" fontId="10" fillId="14" borderId="16" xfId="0" applyFont="1" applyFill="1" applyBorder="1" applyAlignment="1">
      <alignment vertical="center"/>
    </xf>
    <xf numFmtId="0" fontId="25" fillId="14" borderId="2" xfId="0" applyFont="1" applyFill="1" applyBorder="1" applyAlignment="1">
      <alignment vertical="center"/>
    </xf>
    <xf numFmtId="0" fontId="10" fillId="14" borderId="27" xfId="0" applyFont="1" applyFill="1" applyBorder="1" applyAlignment="1">
      <alignment vertical="center"/>
    </xf>
    <xf numFmtId="0" fontId="7" fillId="15" borderId="28" xfId="0" applyFont="1" applyFill="1" applyBorder="1" applyAlignment="1"/>
    <xf numFmtId="0" fontId="7" fillId="15" borderId="29" xfId="0" applyFont="1" applyFill="1" applyBorder="1" applyAlignment="1"/>
    <xf numFmtId="0" fontId="25" fillId="14" borderId="27" xfId="0" applyFont="1" applyFill="1" applyBorder="1" applyAlignment="1">
      <alignment vertical="center"/>
    </xf>
    <xf numFmtId="0" fontId="7" fillId="15" borderId="31" xfId="0" applyFont="1" applyFill="1" applyBorder="1" applyAlignment="1"/>
    <xf numFmtId="0" fontId="7" fillId="15" borderId="42" xfId="0" applyFont="1" applyFill="1" applyBorder="1" applyAlignment="1"/>
    <xf numFmtId="0" fontId="38" fillId="0" borderId="32" xfId="1" applyFont="1" applyBorder="1"/>
    <xf numFmtId="0" fontId="46" fillId="0" borderId="32" xfId="4"/>
    <xf numFmtId="172" fontId="46" fillId="16" borderId="44" xfId="5" applyNumberFormat="1" applyFont="1" applyFill="1" applyBorder="1"/>
    <xf numFmtId="0" fontId="47" fillId="0" borderId="44" xfId="4" applyFont="1" applyBorder="1" applyAlignment="1">
      <alignment horizontal="center" vertical="center"/>
    </xf>
    <xf numFmtId="0" fontId="47" fillId="0" borderId="44" xfId="4" applyFont="1" applyBorder="1" applyAlignment="1">
      <alignment horizontal="center" vertical="center" wrapText="1"/>
    </xf>
    <xf numFmtId="0" fontId="46" fillId="0" borderId="44" xfId="4" applyBorder="1" applyAlignment="1">
      <alignment horizontal="center"/>
    </xf>
    <xf numFmtId="10" fontId="46" fillId="16" borderId="44" xfId="5" applyNumberFormat="1" applyFont="1" applyFill="1" applyBorder="1"/>
    <xf numFmtId="10" fontId="47" fillId="0" borderId="44" xfId="5" applyNumberFormat="1" applyFont="1" applyBorder="1"/>
    <xf numFmtId="0" fontId="46" fillId="0" borderId="59" xfId="4" applyBorder="1"/>
    <xf numFmtId="17" fontId="46" fillId="0" borderId="60" xfId="4" applyNumberFormat="1" applyBorder="1" applyAlignment="1">
      <alignment horizontal="right"/>
    </xf>
    <xf numFmtId="49" fontId="46" fillId="0" borderId="60" xfId="4" applyNumberFormat="1" applyBorder="1" applyAlignment="1">
      <alignment horizontal="right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0" fillId="0" borderId="0" xfId="0"/>
    <xf numFmtId="49" fontId="46" fillId="0" borderId="32" xfId="4" applyNumberFormat="1"/>
    <xf numFmtId="0" fontId="26" fillId="0" borderId="23" xfId="0" applyFont="1" applyBorder="1" applyAlignment="1">
      <alignment horizontal="center" vertical="center"/>
    </xf>
    <xf numFmtId="0" fontId="39" fillId="0" borderId="44" xfId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0" fillId="0" borderId="0" xfId="0"/>
    <xf numFmtId="168" fontId="39" fillId="0" borderId="32" xfId="1" applyNumberFormat="1" applyFont="1" applyBorder="1" applyAlignment="1">
      <alignment vertical="center"/>
    </xf>
    <xf numFmtId="0" fontId="39" fillId="0" borderId="32" xfId="1" applyFont="1" applyBorder="1" applyAlignment="1">
      <alignment vertical="center"/>
    </xf>
    <xf numFmtId="14" fontId="39" fillId="0" borderId="32" xfId="1" applyNumberFormat="1" applyFont="1" applyBorder="1" applyAlignment="1">
      <alignment vertical="center"/>
    </xf>
    <xf numFmtId="0" fontId="39" fillId="0" borderId="32" xfId="1" applyFont="1" applyBorder="1" applyAlignment="1">
      <alignment vertical="center" wrapText="1"/>
    </xf>
    <xf numFmtId="9" fontId="39" fillId="0" borderId="32" xfId="1" applyNumberFormat="1" applyFont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65" fontId="20" fillId="0" borderId="11" xfId="0" applyNumberFormat="1" applyFont="1" applyFill="1" applyBorder="1" applyAlignment="1">
      <alignment horizontal="center" vertical="center" wrapText="1"/>
    </xf>
    <xf numFmtId="165" fontId="20" fillId="0" borderId="11" xfId="0" applyNumberFormat="1" applyFont="1" applyFill="1" applyBorder="1" applyAlignment="1">
      <alignment horizontal="center" vertical="center"/>
    </xf>
    <xf numFmtId="165" fontId="11" fillId="0" borderId="8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65" fontId="20" fillId="0" borderId="13" xfId="0" applyNumberFormat="1" applyFont="1" applyFill="1" applyBorder="1" applyAlignment="1">
      <alignment horizontal="center" vertical="center" wrapText="1"/>
    </xf>
    <xf numFmtId="165" fontId="20" fillId="0" borderId="13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0" fillId="0" borderId="0" xfId="0"/>
    <xf numFmtId="165" fontId="20" fillId="17" borderId="23" xfId="0" applyNumberFormat="1" applyFont="1" applyFill="1" applyBorder="1" applyAlignment="1">
      <alignment horizontal="center" vertical="center" wrapText="1"/>
    </xf>
    <xf numFmtId="165" fontId="5" fillId="17" borderId="9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0" fillId="0" borderId="0" xfId="0"/>
    <xf numFmtId="0" fontId="34" fillId="0" borderId="55" xfId="0" applyFont="1" applyBorder="1" applyAlignment="1">
      <alignment horizontal="center"/>
    </xf>
    <xf numFmtId="0" fontId="34" fillId="0" borderId="56" xfId="0" applyFont="1" applyBorder="1" applyAlignment="1">
      <alignment horizontal="center"/>
    </xf>
    <xf numFmtId="165" fontId="5" fillId="0" borderId="19" xfId="0" applyNumberFormat="1" applyFont="1" applyBorder="1" applyAlignment="1">
      <alignment horizontal="center" vertical="center" wrapText="1"/>
    </xf>
    <xf numFmtId="165" fontId="5" fillId="0" borderId="21" xfId="0" applyNumberFormat="1" applyFont="1" applyBorder="1" applyAlignment="1">
      <alignment horizontal="center" vertical="center" wrapText="1"/>
    </xf>
    <xf numFmtId="165" fontId="20" fillId="0" borderId="18" xfId="0" applyNumberFormat="1" applyFont="1" applyBorder="1" applyAlignment="1">
      <alignment horizontal="center" vertical="center" wrapText="1"/>
    </xf>
    <xf numFmtId="165" fontId="20" fillId="0" borderId="21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165" fontId="20" fillId="0" borderId="19" xfId="0" applyNumberFormat="1" applyFont="1" applyBorder="1" applyAlignment="1">
      <alignment horizontal="center" vertical="center" wrapText="1"/>
    </xf>
    <xf numFmtId="165" fontId="20" fillId="0" borderId="45" xfId="0" applyNumberFormat="1" applyFont="1" applyBorder="1" applyAlignment="1">
      <alignment horizontal="center" vertical="center" wrapText="1"/>
    </xf>
    <xf numFmtId="165" fontId="20" fillId="0" borderId="46" xfId="0" applyNumberFormat="1" applyFont="1" applyBorder="1" applyAlignment="1">
      <alignment horizontal="center" vertical="center" wrapText="1"/>
    </xf>
    <xf numFmtId="0" fontId="7" fillId="0" borderId="21" xfId="0" applyFont="1" applyBorder="1"/>
    <xf numFmtId="0" fontId="7" fillId="0" borderId="20" xfId="0" applyFont="1" applyBorder="1"/>
    <xf numFmtId="165" fontId="5" fillId="0" borderId="24" xfId="0" applyNumberFormat="1" applyFont="1" applyBorder="1" applyAlignment="1">
      <alignment horizontal="center" vertical="center" wrapText="1"/>
    </xf>
    <xf numFmtId="165" fontId="20" fillId="0" borderId="24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/>
    </xf>
    <xf numFmtId="0" fontId="7" fillId="0" borderId="19" xfId="0" applyFont="1" applyBorder="1"/>
    <xf numFmtId="0" fontId="2" fillId="0" borderId="5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/>
    </xf>
    <xf numFmtId="0" fontId="30" fillId="0" borderId="56" xfId="0" applyFont="1" applyBorder="1" applyAlignment="1">
      <alignment horizontal="center"/>
    </xf>
    <xf numFmtId="0" fontId="23" fillId="0" borderId="21" xfId="0" applyFont="1" applyBorder="1"/>
    <xf numFmtId="165" fontId="5" fillId="0" borderId="0" xfId="0" applyNumberFormat="1" applyFont="1" applyAlignment="1">
      <alignment horizontal="center" vertical="center"/>
    </xf>
    <xf numFmtId="0" fontId="0" fillId="0" borderId="0" xfId="0"/>
    <xf numFmtId="0" fontId="10" fillId="7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37" xfId="0" applyFont="1" applyBorder="1"/>
    <xf numFmtId="0" fontId="7" fillId="0" borderId="4" xfId="0" applyFont="1" applyBorder="1"/>
    <xf numFmtId="165" fontId="20" fillId="0" borderId="18" xfId="0" applyNumberFormat="1" applyFont="1" applyBorder="1" applyAlignment="1">
      <alignment horizontal="center" vertical="center"/>
    </xf>
    <xf numFmtId="165" fontId="20" fillId="0" borderId="20" xfId="0" applyNumberFormat="1" applyFont="1" applyBorder="1" applyAlignment="1">
      <alignment horizontal="center" vertical="center"/>
    </xf>
    <xf numFmtId="165" fontId="20" fillId="0" borderId="24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/>
    <xf numFmtId="0" fontId="20" fillId="17" borderId="66" xfId="0" applyFont="1" applyFill="1" applyBorder="1" applyAlignment="1">
      <alignment horizontal="center" vertical="center"/>
    </xf>
    <xf numFmtId="0" fontId="20" fillId="17" borderId="32" xfId="0" applyFont="1" applyFill="1" applyBorder="1" applyAlignment="1">
      <alignment horizontal="center" vertical="center"/>
    </xf>
    <xf numFmtId="0" fontId="20" fillId="17" borderId="67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63" xfId="0" applyBorder="1" applyAlignment="1">
      <alignment horizontal="center"/>
    </xf>
    <xf numFmtId="0" fontId="0" fillId="0" borderId="58" xfId="0" applyBorder="1" applyAlignment="1">
      <alignment horizontal="center"/>
    </xf>
    <xf numFmtId="0" fontId="4" fillId="2" borderId="34" xfId="0" applyFont="1" applyFill="1" applyBorder="1" applyAlignment="1">
      <alignment horizontal="center" vertical="center"/>
    </xf>
    <xf numFmtId="0" fontId="7" fillId="0" borderId="5" xfId="0" applyFont="1" applyBorder="1"/>
    <xf numFmtId="0" fontId="6" fillId="3" borderId="34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164" fontId="4" fillId="2" borderId="34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7" fillId="0" borderId="43" xfId="0" applyFont="1" applyBorder="1"/>
    <xf numFmtId="0" fontId="7" fillId="0" borderId="41" xfId="0" applyFont="1" applyBorder="1"/>
    <xf numFmtId="0" fontId="9" fillId="4" borderId="2" xfId="0" applyFont="1" applyFill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164" fontId="5" fillId="0" borderId="60" xfId="0" applyNumberFormat="1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64" fontId="5" fillId="0" borderId="64" xfId="0" applyNumberFormat="1" applyFont="1" applyBorder="1" applyAlignment="1">
      <alignment horizontal="center" vertical="center"/>
    </xf>
    <xf numFmtId="164" fontId="5" fillId="0" borderId="62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165" fontId="19" fillId="0" borderId="38" xfId="0" applyNumberFormat="1" applyFont="1" applyBorder="1" applyAlignment="1">
      <alignment horizontal="center" vertical="center" wrapText="1"/>
    </xf>
    <xf numFmtId="165" fontId="19" fillId="0" borderId="34" xfId="0" applyNumberFormat="1" applyFont="1" applyBorder="1" applyAlignment="1">
      <alignment horizontal="center" vertical="center" wrapText="1"/>
    </xf>
    <xf numFmtId="165" fontId="19" fillId="0" borderId="35" xfId="0" applyNumberFormat="1" applyFont="1" applyBorder="1" applyAlignment="1">
      <alignment horizontal="center" vertical="center" wrapText="1"/>
    </xf>
    <xf numFmtId="165" fontId="5" fillId="0" borderId="52" xfId="0" applyNumberFormat="1" applyFont="1" applyBorder="1" applyAlignment="1">
      <alignment horizontal="center" vertical="center" wrapText="1"/>
    </xf>
    <xf numFmtId="165" fontId="5" fillId="0" borderId="53" xfId="0" applyNumberFormat="1" applyFont="1" applyBorder="1" applyAlignment="1">
      <alignment horizontal="center" vertical="center" wrapText="1"/>
    </xf>
    <xf numFmtId="165" fontId="5" fillId="0" borderId="51" xfId="0" applyNumberFormat="1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164" fontId="20" fillId="0" borderId="32" xfId="0" applyNumberFormat="1" applyFont="1" applyFill="1" applyBorder="1" applyAlignment="1">
      <alignment horizontal="center" vertical="center"/>
    </xf>
    <xf numFmtId="164" fontId="20" fillId="0" borderId="60" xfId="0" applyNumberFormat="1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9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165" fontId="20" fillId="17" borderId="65" xfId="0" applyNumberFormat="1" applyFont="1" applyFill="1" applyBorder="1" applyAlignment="1">
      <alignment horizontal="center" vertical="center" wrapText="1"/>
    </xf>
    <xf numFmtId="165" fontId="20" fillId="17" borderId="37" xfId="0" applyNumberFormat="1" applyFont="1" applyFill="1" applyBorder="1" applyAlignment="1">
      <alignment horizontal="center" vertical="center" wrapText="1"/>
    </xf>
    <xf numFmtId="165" fontId="20" fillId="17" borderId="31" xfId="0" applyNumberFormat="1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/>
    </xf>
    <xf numFmtId="0" fontId="14" fillId="8" borderId="40" xfId="0" applyFont="1" applyFill="1" applyBorder="1" applyAlignment="1">
      <alignment horizontal="center" vertical="center"/>
    </xf>
    <xf numFmtId="0" fontId="36" fillId="0" borderId="54" xfId="0" applyFont="1" applyBorder="1" applyAlignment="1">
      <alignment horizontal="center"/>
    </xf>
    <xf numFmtId="0" fontId="36" fillId="0" borderId="55" xfId="0" applyFont="1" applyBorder="1" applyAlignment="1">
      <alignment horizontal="center"/>
    </xf>
    <xf numFmtId="0" fontId="36" fillId="0" borderId="56" xfId="0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60" xfId="0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10" borderId="37" xfId="0" applyFont="1" applyFill="1" applyBorder="1" applyAlignment="1">
      <alignment horizontal="center" vertical="center"/>
    </xf>
    <xf numFmtId="0" fontId="45" fillId="0" borderId="61" xfId="1" applyFont="1" applyBorder="1" applyAlignment="1">
      <alignment horizontal="center" vertical="center"/>
    </xf>
    <xf numFmtId="0" fontId="45" fillId="0" borderId="64" xfId="1" applyFont="1" applyBorder="1" applyAlignment="1">
      <alignment horizontal="center" vertical="center"/>
    </xf>
    <xf numFmtId="0" fontId="45" fillId="0" borderId="62" xfId="1" applyFont="1" applyBorder="1" applyAlignment="1">
      <alignment horizontal="center" vertical="center"/>
    </xf>
    <xf numFmtId="0" fontId="41" fillId="11" borderId="44" xfId="1" applyFont="1" applyFill="1" applyBorder="1" applyAlignment="1">
      <alignment horizontal="left" vertical="center"/>
    </xf>
    <xf numFmtId="0" fontId="41" fillId="12" borderId="44" xfId="1" applyFont="1" applyFill="1" applyBorder="1" applyAlignment="1">
      <alignment horizontal="left" vertical="center"/>
    </xf>
    <xf numFmtId="0" fontId="43" fillId="13" borderId="54" xfId="1" applyFont="1" applyFill="1" applyBorder="1" applyAlignment="1">
      <alignment horizontal="center" vertical="center"/>
    </xf>
    <xf numFmtId="0" fontId="43" fillId="13" borderId="55" xfId="1" applyFont="1" applyFill="1" applyBorder="1" applyAlignment="1">
      <alignment horizontal="center" vertical="center"/>
    </xf>
    <xf numFmtId="0" fontId="43" fillId="13" borderId="56" xfId="1" applyFont="1" applyFill="1" applyBorder="1" applyAlignment="1">
      <alignment horizontal="center" vertical="center"/>
    </xf>
    <xf numFmtId="0" fontId="41" fillId="0" borderId="63" xfId="1" applyFont="1" applyBorder="1" applyAlignment="1">
      <alignment horizontal="right" vertical="center"/>
    </xf>
    <xf numFmtId="0" fontId="41" fillId="0" borderId="58" xfId="1" applyFont="1" applyBorder="1" applyAlignment="1">
      <alignment horizontal="right" vertical="center"/>
    </xf>
    <xf numFmtId="0" fontId="42" fillId="0" borderId="59" xfId="1" applyFont="1" applyBorder="1" applyAlignment="1">
      <alignment horizontal="center" vertical="center"/>
    </xf>
    <xf numFmtId="0" fontId="42" fillId="0" borderId="32" xfId="1" applyFont="1" applyAlignment="1">
      <alignment horizontal="center" vertical="center"/>
    </xf>
    <xf numFmtId="0" fontId="42" fillId="0" borderId="60" xfId="1" applyFont="1" applyBorder="1" applyAlignment="1">
      <alignment horizontal="center" vertical="center"/>
    </xf>
    <xf numFmtId="0" fontId="45" fillId="0" borderId="59" xfId="1" applyFont="1" applyBorder="1" applyAlignment="1">
      <alignment horizontal="center" vertical="center"/>
    </xf>
    <xf numFmtId="0" fontId="45" fillId="0" borderId="32" xfId="1" applyFont="1" applyAlignment="1">
      <alignment horizontal="center" vertical="center"/>
    </xf>
    <xf numFmtId="0" fontId="45" fillId="0" borderId="60" xfId="1" applyFont="1" applyBorder="1" applyAlignment="1">
      <alignment horizontal="center" vertical="center"/>
    </xf>
    <xf numFmtId="0" fontId="43" fillId="0" borderId="54" xfId="1" applyFont="1" applyBorder="1" applyAlignment="1">
      <alignment horizontal="center" vertical="center"/>
    </xf>
    <xf numFmtId="0" fontId="43" fillId="0" borderId="55" xfId="1" applyFont="1" applyBorder="1" applyAlignment="1">
      <alignment horizontal="center" vertical="center"/>
    </xf>
    <xf numFmtId="0" fontId="43" fillId="0" borderId="56" xfId="1" applyFont="1" applyBorder="1" applyAlignment="1">
      <alignment horizontal="center" vertical="center"/>
    </xf>
    <xf numFmtId="0" fontId="39" fillId="0" borderId="44" xfId="1" applyFont="1" applyBorder="1" applyAlignment="1">
      <alignment horizontal="center" vertical="center"/>
    </xf>
    <xf numFmtId="0" fontId="41" fillId="11" borderId="44" xfId="1" applyFont="1" applyFill="1" applyBorder="1" applyAlignment="1">
      <alignment horizontal="left" vertical="center" wrapText="1"/>
    </xf>
    <xf numFmtId="0" fontId="41" fillId="0" borderId="44" xfId="1" applyFont="1" applyBorder="1" applyAlignment="1">
      <alignment horizontal="left" vertical="center"/>
    </xf>
    <xf numFmtId="0" fontId="38" fillId="0" borderId="54" xfId="1" applyFont="1" applyBorder="1" applyAlignment="1">
      <alignment horizontal="left" vertical="top"/>
    </xf>
    <xf numFmtId="0" fontId="38" fillId="0" borderId="55" xfId="1" applyFont="1" applyBorder="1" applyAlignment="1">
      <alignment horizontal="left" vertical="top"/>
    </xf>
    <xf numFmtId="0" fontId="44" fillId="0" borderId="55" xfId="1" applyFont="1" applyBorder="1" applyAlignment="1">
      <alignment horizontal="center" vertical="center"/>
    </xf>
    <xf numFmtId="0" fontId="44" fillId="0" borderId="56" xfId="1" applyFont="1" applyBorder="1" applyAlignment="1">
      <alignment horizontal="center" vertical="center"/>
    </xf>
    <xf numFmtId="0" fontId="39" fillId="0" borderId="52" xfId="1" applyFont="1" applyBorder="1" applyAlignment="1">
      <alignment horizontal="center" vertical="center" shrinkToFit="1"/>
    </xf>
    <xf numFmtId="0" fontId="39" fillId="0" borderId="53" xfId="1" applyFont="1" applyBorder="1" applyAlignment="1">
      <alignment horizontal="center" vertical="center" shrinkToFit="1"/>
    </xf>
    <xf numFmtId="0" fontId="39" fillId="0" borderId="51" xfId="1" applyFont="1" applyBorder="1" applyAlignment="1">
      <alignment horizontal="center" vertical="center" shrinkToFit="1"/>
    </xf>
    <xf numFmtId="0" fontId="39" fillId="0" borderId="57" xfId="1" applyFont="1" applyBorder="1" applyAlignment="1">
      <alignment horizontal="center" vertical="center" wrapText="1"/>
    </xf>
    <xf numFmtId="0" fontId="39" fillId="0" borderId="59" xfId="1" applyFont="1" applyBorder="1" applyAlignment="1">
      <alignment horizontal="center" vertical="center" wrapText="1"/>
    </xf>
    <xf numFmtId="0" fontId="39" fillId="0" borderId="61" xfId="1" applyFont="1" applyBorder="1" applyAlignment="1">
      <alignment horizontal="center" vertical="center" wrapText="1"/>
    </xf>
    <xf numFmtId="0" fontId="39" fillId="0" borderId="52" xfId="1" applyFont="1" applyBorder="1" applyAlignment="1">
      <alignment horizontal="center" vertical="center" wrapText="1"/>
    </xf>
    <xf numFmtId="0" fontId="39" fillId="0" borderId="53" xfId="1" applyFont="1" applyBorder="1" applyAlignment="1">
      <alignment horizontal="center" vertical="center" wrapText="1"/>
    </xf>
    <xf numFmtId="0" fontId="39" fillId="0" borderId="51" xfId="1" applyFont="1" applyBorder="1" applyAlignment="1">
      <alignment horizontal="center" vertical="center" wrapText="1"/>
    </xf>
    <xf numFmtId="0" fontId="38" fillId="0" borderId="61" xfId="1" applyFont="1" applyBorder="1" applyAlignment="1">
      <alignment horizontal="center" vertical="center"/>
    </xf>
    <xf numFmtId="0" fontId="38" fillId="0" borderId="64" xfId="1" applyFont="1" applyBorder="1" applyAlignment="1">
      <alignment horizontal="center" vertical="center"/>
    </xf>
    <xf numFmtId="0" fontId="39" fillId="0" borderId="64" xfId="1" applyFont="1" applyBorder="1" applyAlignment="1">
      <alignment horizontal="left" vertical="center"/>
    </xf>
    <xf numFmtId="0" fontId="39" fillId="0" borderId="57" xfId="1" applyFont="1" applyBorder="1" applyAlignment="1">
      <alignment horizontal="center" vertical="center"/>
    </xf>
    <xf numFmtId="0" fontId="39" fillId="0" borderId="63" xfId="1" applyFont="1" applyBorder="1" applyAlignment="1">
      <alignment horizontal="center" vertical="center"/>
    </xf>
    <xf numFmtId="0" fontId="39" fillId="0" borderId="59" xfId="1" applyFont="1" applyBorder="1" applyAlignment="1">
      <alignment horizontal="center" vertical="center"/>
    </xf>
    <xf numFmtId="0" fontId="39" fillId="0" borderId="32" xfId="1" applyFont="1" applyAlignment="1">
      <alignment horizontal="center" vertical="center"/>
    </xf>
    <xf numFmtId="0" fontId="40" fillId="0" borderId="63" xfId="1" applyFont="1" applyBorder="1" applyAlignment="1">
      <alignment horizontal="center" vertical="center"/>
    </xf>
    <xf numFmtId="0" fontId="40" fillId="0" borderId="58" xfId="1" applyFont="1" applyBorder="1" applyAlignment="1">
      <alignment horizontal="center" vertical="center"/>
    </xf>
    <xf numFmtId="0" fontId="40" fillId="0" borderId="32" xfId="1" applyFont="1" applyAlignment="1">
      <alignment horizontal="center" vertical="center"/>
    </xf>
    <xf numFmtId="0" fontId="40" fillId="0" borderId="60" xfId="1" applyFont="1" applyBorder="1" applyAlignment="1">
      <alignment horizontal="center" vertical="center"/>
    </xf>
    <xf numFmtId="0" fontId="38" fillId="0" borderId="32" xfId="1" applyFont="1" applyAlignment="1">
      <alignment horizontal="left" vertical="center"/>
    </xf>
    <xf numFmtId="0" fontId="39" fillId="0" borderId="32" xfId="1" applyFont="1" applyAlignment="1">
      <alignment horizontal="left" vertical="center"/>
    </xf>
    <xf numFmtId="2" fontId="39" fillId="0" borderId="32" xfId="1" applyNumberFormat="1" applyFont="1" applyAlignment="1">
      <alignment horizontal="right" vertical="center"/>
    </xf>
    <xf numFmtId="2" fontId="39" fillId="0" borderId="60" xfId="1" applyNumberFormat="1" applyFont="1" applyBorder="1" applyAlignment="1">
      <alignment horizontal="right" vertical="center"/>
    </xf>
    <xf numFmtId="0" fontId="38" fillId="0" borderId="59" xfId="1" applyFont="1" applyBorder="1" applyAlignment="1">
      <alignment horizontal="center" vertical="center"/>
    </xf>
    <xf numFmtId="0" fontId="38" fillId="0" borderId="32" xfId="1" applyFont="1" applyAlignment="1">
      <alignment horizontal="center" vertical="center"/>
    </xf>
    <xf numFmtId="14" fontId="39" fillId="0" borderId="32" xfId="1" applyNumberFormat="1" applyFont="1" applyAlignment="1">
      <alignment horizontal="right" vertical="center"/>
    </xf>
    <xf numFmtId="0" fontId="39" fillId="0" borderId="32" xfId="1" applyFont="1" applyAlignment="1">
      <alignment horizontal="right" vertical="center"/>
    </xf>
    <xf numFmtId="0" fontId="39" fillId="0" borderId="60" xfId="1" applyFont="1" applyBorder="1" applyAlignment="1">
      <alignment horizontal="right" vertical="center"/>
    </xf>
    <xf numFmtId="0" fontId="46" fillId="0" borderId="59" xfId="4" applyBorder="1" applyAlignment="1">
      <alignment horizontal="left"/>
    </xf>
    <xf numFmtId="0" fontId="46" fillId="0" borderId="32" xfId="4" applyAlignment="1">
      <alignment horizontal="left"/>
    </xf>
    <xf numFmtId="0" fontId="46" fillId="0" borderId="60" xfId="4" applyBorder="1" applyAlignment="1">
      <alignment horizontal="left"/>
    </xf>
    <xf numFmtId="0" fontId="46" fillId="0" borderId="61" xfId="4" applyBorder="1" applyAlignment="1">
      <alignment horizontal="left"/>
    </xf>
    <xf numFmtId="0" fontId="46" fillId="0" borderId="64" xfId="4" applyBorder="1" applyAlignment="1">
      <alignment horizontal="left"/>
    </xf>
    <xf numFmtId="0" fontId="46" fillId="0" borderId="62" xfId="4" applyBorder="1" applyAlignment="1">
      <alignment horizontal="left"/>
    </xf>
    <xf numFmtId="0" fontId="46" fillId="0" borderId="57" xfId="4" applyBorder="1" applyAlignment="1">
      <alignment horizontal="center"/>
    </xf>
    <xf numFmtId="0" fontId="46" fillId="0" borderId="63" xfId="4" applyBorder="1" applyAlignment="1">
      <alignment horizontal="center"/>
    </xf>
    <xf numFmtId="0" fontId="46" fillId="0" borderId="58" xfId="4" applyBorder="1" applyAlignment="1">
      <alignment horizontal="center"/>
    </xf>
    <xf numFmtId="0" fontId="46" fillId="0" borderId="59" xfId="4" applyBorder="1" applyAlignment="1">
      <alignment horizontal="center"/>
    </xf>
    <xf numFmtId="0" fontId="46" fillId="0" borderId="32" xfId="4" applyAlignment="1">
      <alignment horizontal="center"/>
    </xf>
    <xf numFmtId="0" fontId="46" fillId="0" borderId="60" xfId="4" applyBorder="1" applyAlignment="1">
      <alignment horizontal="center"/>
    </xf>
    <xf numFmtId="0" fontId="46" fillId="0" borderId="44" xfId="4" applyBorder="1" applyAlignment="1">
      <alignment horizontal="center"/>
    </xf>
    <xf numFmtId="0" fontId="46" fillId="0" borderId="44" xfId="4" applyBorder="1" applyAlignment="1">
      <alignment horizontal="left"/>
    </xf>
    <xf numFmtId="0" fontId="46" fillId="0" borderId="44" xfId="4" applyBorder="1" applyAlignment="1">
      <alignment horizontal="center" wrapText="1"/>
    </xf>
    <xf numFmtId="0" fontId="46" fillId="0" borderId="54" xfId="4" applyBorder="1" applyAlignment="1">
      <alignment horizontal="left" wrapText="1"/>
    </xf>
    <xf numFmtId="0" fontId="46" fillId="0" borderId="55" xfId="4" applyBorder="1" applyAlignment="1">
      <alignment horizontal="left" wrapText="1"/>
    </xf>
    <xf numFmtId="0" fontId="46" fillId="0" borderId="56" xfId="4" applyBorder="1" applyAlignment="1">
      <alignment horizontal="left" wrapText="1"/>
    </xf>
    <xf numFmtId="0" fontId="47" fillId="0" borderId="44" xfId="4" applyFont="1" applyBorder="1" applyAlignment="1">
      <alignment horizontal="center" vertical="center"/>
    </xf>
    <xf numFmtId="0" fontId="48" fillId="0" borderId="44" xfId="4" applyFont="1" applyBorder="1" applyAlignment="1">
      <alignment horizontal="center"/>
    </xf>
    <xf numFmtId="0" fontId="47" fillId="0" borderId="44" xfId="4" applyFont="1" applyBorder="1" applyAlignment="1">
      <alignment horizontal="center"/>
    </xf>
  </cellXfs>
  <cellStyles count="6">
    <cellStyle name="Moeda 2" xfId="2" xr:uid="{38D0FCBB-8A17-4155-AD7F-236A29EEC5DE}"/>
    <cellStyle name="Normal" xfId="0" builtinId="0"/>
    <cellStyle name="Normal 2" xfId="1" xr:uid="{63E2F171-8AA0-4A3C-9F7A-63D4774CAD2A}"/>
    <cellStyle name="Normal 3" xfId="4" xr:uid="{04FA6018-3C48-4013-B1B5-26BEDCC77F3E}"/>
    <cellStyle name="Porcentagem 2" xfId="3" xr:uid="{0214D5B2-1C31-49F7-9D61-8DD8FC19C97C}"/>
    <cellStyle name="Porcentagem 3" xfId="5" xr:uid="{CC1DAFE6-83B3-4887-902F-9A4B1AC696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705970</xdr:colOff>
      <xdr:row>0</xdr:row>
      <xdr:rowOff>196454</xdr:rowOff>
    </xdr:from>
    <xdr:to>
      <xdr:col>2</xdr:col>
      <xdr:colOff>2028265</xdr:colOff>
      <xdr:row>6</xdr:row>
      <xdr:rowOff>20352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AB5A353-5AF0-4471-8407-7053DA87A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3382" y="196454"/>
          <a:ext cx="1322295" cy="119101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180975</xdr:rowOff>
    </xdr:from>
    <xdr:to>
      <xdr:col>0</xdr:col>
      <xdr:colOff>904875</xdr:colOff>
      <xdr:row>4</xdr:row>
      <xdr:rowOff>62425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088F7DA-E4F7-498B-A442-3A8868147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1" y="180975"/>
          <a:ext cx="714374" cy="6434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180975</xdr:rowOff>
    </xdr:from>
    <xdr:to>
      <xdr:col>0</xdr:col>
      <xdr:colOff>904875</xdr:colOff>
      <xdr:row>4</xdr:row>
      <xdr:rowOff>62425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F4AB86F-33D5-4A49-BB94-945CFB252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1" y="180975"/>
          <a:ext cx="714374" cy="6434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102871</xdr:colOff>
      <xdr:row>1</xdr:row>
      <xdr:rowOff>127635</xdr:rowOff>
    </xdr:from>
    <xdr:to>
      <xdr:col>5</xdr:col>
      <xdr:colOff>140900</xdr:colOff>
      <xdr:row>4</xdr:row>
      <xdr:rowOff>81850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FABF612-80A3-4D8E-A34A-2FF24892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8346" y="184785"/>
          <a:ext cx="552379" cy="52571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u%20Drive/Presidente%20Castello%20Branco/2024/PAV%20RUA%20PEDRO%20SAMP/Arquivos%20abertos/Planilha%20Or&#231;ament&#225;ria%20G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GERAL"/>
      <sheetName val="ORÇAMENTO"/>
      <sheetName val="CRONOGRAMA"/>
      <sheetName val="BDI"/>
      <sheetName val="Composições"/>
      <sheetName val="Cotações"/>
      <sheetName val="Memória de Cálcul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D1378"/>
  <sheetViews>
    <sheetView showGridLines="0" topLeftCell="A403" zoomScale="85" zoomScaleNormal="85" workbookViewId="0">
      <selection activeCell="K424" sqref="K424"/>
    </sheetView>
  </sheetViews>
  <sheetFormatPr defaultColWidth="12.625" defaultRowHeight="15" customHeight="1" x14ac:dyDescent="0.2"/>
  <cols>
    <col min="1" max="1" width="6.25" customWidth="1"/>
    <col min="2" max="2" width="19" customWidth="1"/>
    <col min="3" max="3" width="57.75" customWidth="1"/>
    <col min="4" max="4" width="50.125" customWidth="1"/>
    <col min="5" max="5" width="8" customWidth="1"/>
    <col min="6" max="6" width="7.25" bestFit="1" customWidth="1"/>
    <col min="7" max="8" width="10.875" customWidth="1"/>
    <col min="9" max="9" width="12.125" customWidth="1"/>
    <col min="10" max="10" width="12.125" style="251" customWidth="1"/>
    <col min="11" max="11" width="16.625" customWidth="1"/>
    <col min="12" max="12" width="2.75" customWidth="1"/>
    <col min="13" max="13" width="4.125" customWidth="1"/>
    <col min="14" max="14" width="12.5" customWidth="1"/>
    <col min="15" max="15" width="13.375" customWidth="1"/>
    <col min="16" max="16" width="12.5" bestFit="1" customWidth="1"/>
    <col min="17" max="17" width="8.5" customWidth="1"/>
    <col min="18" max="29" width="7.625" customWidth="1"/>
  </cols>
  <sheetData>
    <row r="1" spans="1:29" s="248" customFormat="1" ht="26.25" x14ac:dyDescent="0.4">
      <c r="A1" s="265"/>
      <c r="B1" s="266"/>
      <c r="C1" s="274"/>
      <c r="D1" s="398" t="s">
        <v>989</v>
      </c>
      <c r="E1" s="398"/>
      <c r="F1" s="398"/>
      <c r="G1" s="398"/>
      <c r="H1" s="398"/>
      <c r="I1" s="398"/>
      <c r="J1" s="398"/>
      <c r="K1" s="39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248" customFormat="1" ht="18" x14ac:dyDescent="0.2">
      <c r="A2" s="267"/>
      <c r="B2" s="268"/>
      <c r="C2" s="275"/>
      <c r="D2" s="271" t="s">
        <v>1003</v>
      </c>
      <c r="E2" s="253"/>
      <c r="F2" s="269"/>
      <c r="G2" s="269"/>
      <c r="H2" s="269"/>
      <c r="I2" s="258"/>
      <c r="J2" s="258" t="s">
        <v>1005</v>
      </c>
      <c r="K2" s="270" t="s">
        <v>1004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248" customFormat="1" ht="15.75" x14ac:dyDescent="0.25">
      <c r="A3" s="267"/>
      <c r="B3" s="268"/>
      <c r="C3" s="275"/>
      <c r="D3" s="272" t="s">
        <v>990</v>
      </c>
      <c r="E3" s="254"/>
      <c r="F3" s="269"/>
      <c r="G3" s="269"/>
      <c r="H3" s="269"/>
      <c r="I3" s="258"/>
      <c r="J3" s="258" t="s">
        <v>999</v>
      </c>
      <c r="K3" s="254">
        <v>649.83000000000004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s="248" customFormat="1" ht="15.75" x14ac:dyDescent="0.2">
      <c r="A4" s="267"/>
      <c r="B4" s="268"/>
      <c r="C4" s="275"/>
      <c r="D4" s="269" t="s">
        <v>991</v>
      </c>
      <c r="E4" s="254"/>
      <c r="F4" s="269"/>
      <c r="G4" s="269"/>
      <c r="H4" s="269"/>
      <c r="I4" s="258"/>
      <c r="J4" s="258" t="s">
        <v>1000</v>
      </c>
      <c r="K4" s="254">
        <v>23.42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s="248" customFormat="1" ht="15.75" x14ac:dyDescent="0.25">
      <c r="A5" s="414"/>
      <c r="B5" s="415"/>
      <c r="C5" s="416"/>
      <c r="D5" s="273" t="s">
        <v>992</v>
      </c>
      <c r="E5" s="255"/>
      <c r="F5" s="257"/>
      <c r="G5" s="257"/>
      <c r="H5" s="257"/>
      <c r="I5" s="258"/>
      <c r="J5" s="258" t="s">
        <v>1001</v>
      </c>
      <c r="K5" s="254">
        <v>37.880000000000003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s="248" customFormat="1" ht="15.75" x14ac:dyDescent="0.2">
      <c r="A6" s="414"/>
      <c r="B6" s="415"/>
      <c r="C6" s="415"/>
      <c r="D6" s="256"/>
      <c r="E6" s="257"/>
      <c r="F6" s="257"/>
      <c r="G6" s="257"/>
      <c r="H6" s="257"/>
      <c r="I6" s="258"/>
      <c r="J6" s="258" t="s">
        <v>1002</v>
      </c>
      <c r="K6" s="254">
        <v>57.11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251" customFormat="1" ht="15.75" x14ac:dyDescent="0.2">
      <c r="A7" s="414"/>
      <c r="B7" s="415"/>
      <c r="C7" s="415"/>
      <c r="D7" s="257"/>
      <c r="E7" s="257"/>
      <c r="F7" s="257"/>
      <c r="G7" s="257"/>
      <c r="H7" s="257"/>
      <c r="I7" s="258"/>
      <c r="J7" s="258" t="s">
        <v>993</v>
      </c>
      <c r="K7" s="254">
        <v>67.709999999999994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s="248" customFormat="1" ht="15.75" x14ac:dyDescent="0.2">
      <c r="A8" s="414" t="s">
        <v>986</v>
      </c>
      <c r="B8" s="415"/>
      <c r="C8" s="415"/>
      <c r="D8" s="257"/>
      <c r="E8" s="257"/>
      <c r="F8" s="257"/>
      <c r="G8" s="257"/>
      <c r="H8" s="257"/>
      <c r="I8" s="258"/>
      <c r="J8" s="258"/>
      <c r="K8" s="25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s="248" customFormat="1" ht="15.75" x14ac:dyDescent="0.2">
      <c r="A9" s="414" t="s">
        <v>987</v>
      </c>
      <c r="B9" s="415"/>
      <c r="C9" s="415"/>
      <c r="D9" s="257"/>
      <c r="E9" s="257"/>
      <c r="F9" s="257"/>
      <c r="G9" s="257"/>
      <c r="H9" s="257"/>
      <c r="I9" s="258"/>
      <c r="J9" s="258" t="s">
        <v>994</v>
      </c>
      <c r="K9" s="259" t="s">
        <v>995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248" customFormat="1" ht="15.75" x14ac:dyDescent="0.2">
      <c r="A10" s="414" t="s">
        <v>988</v>
      </c>
      <c r="B10" s="415"/>
      <c r="C10" s="415"/>
      <c r="D10" s="257"/>
      <c r="E10" s="257"/>
      <c r="F10" s="257"/>
      <c r="G10" s="257"/>
      <c r="H10" s="257"/>
      <c r="I10" s="258"/>
      <c r="J10" s="258" t="s">
        <v>996</v>
      </c>
      <c r="K10" s="259" t="s">
        <v>997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248" customFormat="1" ht="15.75" x14ac:dyDescent="0.2">
      <c r="A11" s="260"/>
      <c r="B11" s="261"/>
      <c r="C11" s="261"/>
      <c r="D11" s="262"/>
      <c r="E11" s="262"/>
      <c r="F11" s="262"/>
      <c r="G11" s="262"/>
      <c r="H11" s="262"/>
      <c r="I11" s="263"/>
      <c r="J11" s="263" t="s">
        <v>998</v>
      </c>
      <c r="K11" s="264" t="s">
        <v>1034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4.5" customHeight="1" x14ac:dyDescent="0.35">
      <c r="A12" s="417" t="s">
        <v>1162</v>
      </c>
      <c r="B12" s="418"/>
      <c r="C12" s="418"/>
      <c r="D12" s="418"/>
      <c r="E12" s="418"/>
      <c r="F12" s="418"/>
      <c r="G12" s="418"/>
      <c r="H12" s="418"/>
      <c r="I12" s="418"/>
      <c r="J12" s="418"/>
      <c r="K12" s="41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251" customFormat="1" ht="34.5" customHeight="1" x14ac:dyDescent="0.35">
      <c r="A13" s="417" t="s">
        <v>1163</v>
      </c>
      <c r="B13" s="418"/>
      <c r="C13" s="418"/>
      <c r="D13" s="418"/>
      <c r="E13" s="418"/>
      <c r="F13" s="418"/>
      <c r="G13" s="418"/>
      <c r="H13" s="418"/>
      <c r="I13" s="418"/>
      <c r="J13" s="418"/>
      <c r="K13" s="41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4.25" customHeight="1" x14ac:dyDescent="0.2">
      <c r="A14" s="437" t="s">
        <v>0</v>
      </c>
      <c r="B14" s="439" t="s">
        <v>5</v>
      </c>
      <c r="C14" s="440" t="s">
        <v>6</v>
      </c>
      <c r="D14" s="441" t="s">
        <v>7</v>
      </c>
      <c r="E14" s="442" t="s">
        <v>8</v>
      </c>
      <c r="F14" s="437" t="s">
        <v>9</v>
      </c>
      <c r="G14" s="443" t="s">
        <v>1</v>
      </c>
      <c r="H14" s="444"/>
      <c r="I14" s="444"/>
      <c r="J14" s="444"/>
      <c r="K14" s="44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30" x14ac:dyDescent="0.2">
      <c r="A15" s="438"/>
      <c r="B15" s="438"/>
      <c r="C15" s="438"/>
      <c r="D15" s="438"/>
      <c r="E15" s="438"/>
      <c r="F15" s="438"/>
      <c r="G15" s="5" t="s">
        <v>2</v>
      </c>
      <c r="H15" s="5" t="s">
        <v>3</v>
      </c>
      <c r="I15" s="5" t="s">
        <v>10</v>
      </c>
      <c r="J15" s="295" t="s">
        <v>1038</v>
      </c>
      <c r="K15" s="5" t="s">
        <v>4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4.5" customHeight="1" x14ac:dyDescent="0.2">
      <c r="A16" s="453"/>
      <c r="B16" s="454"/>
      <c r="C16" s="454"/>
      <c r="D16" s="454"/>
      <c r="E16" s="454"/>
      <c r="F16" s="454"/>
      <c r="G16" s="454"/>
      <c r="H16" s="454"/>
      <c r="I16" s="454"/>
      <c r="J16" s="454"/>
      <c r="K16" s="45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8.75" x14ac:dyDescent="0.2">
      <c r="A17" s="446" t="s">
        <v>11</v>
      </c>
      <c r="B17" s="424"/>
      <c r="C17" s="424"/>
      <c r="D17" s="424"/>
      <c r="E17" s="424"/>
      <c r="F17" s="424"/>
      <c r="G17" s="424"/>
      <c r="H17" s="424"/>
      <c r="I17" s="424"/>
      <c r="J17" s="425"/>
      <c r="K17" s="42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8.75" x14ac:dyDescent="0.2">
      <c r="A18" s="345" t="s">
        <v>12</v>
      </c>
      <c r="B18" s="346"/>
      <c r="C18" s="346"/>
      <c r="D18" s="347"/>
      <c r="E18" s="348"/>
      <c r="F18" s="7"/>
      <c r="G18" s="7"/>
      <c r="H18" s="7"/>
      <c r="I18" s="7"/>
      <c r="J18" s="7"/>
      <c r="K18" s="8">
        <f>SUM(K19:K45)</f>
        <v>12729.63651697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30" x14ac:dyDescent="0.2">
      <c r="A19" s="9" t="s">
        <v>13</v>
      </c>
      <c r="B19" s="10">
        <v>97644</v>
      </c>
      <c r="C19" s="11" t="s">
        <v>14</v>
      </c>
      <c r="D19" s="404" t="s">
        <v>15</v>
      </c>
      <c r="E19" s="13" t="s">
        <v>16</v>
      </c>
      <c r="F19" s="10">
        <v>17.75</v>
      </c>
      <c r="G19" s="13">
        <f>I19*0.85</f>
        <v>7.9135</v>
      </c>
      <c r="H19" s="13">
        <f>I19*0.15</f>
        <v>1.3965000000000001</v>
      </c>
      <c r="I19" s="14">
        <v>9.31</v>
      </c>
      <c r="J19" s="14">
        <f>I19*(1+$K$11)</f>
        <v>12.008969</v>
      </c>
      <c r="K19" s="15">
        <f>J19*F19</f>
        <v>213.15919975</v>
      </c>
      <c r="L19" s="2"/>
      <c r="M19" s="2"/>
      <c r="N19" s="16">
        <f t="shared" ref="N19:N355" si="0">G19*F19</f>
        <v>140.46462500000001</v>
      </c>
      <c r="O19" s="16">
        <f t="shared" ref="O19:O355" si="1">H19*F19</f>
        <v>24.787875</v>
      </c>
      <c r="P19" s="24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30" x14ac:dyDescent="0.2">
      <c r="A20" s="17" t="s">
        <v>17</v>
      </c>
      <c r="B20" s="18">
        <v>100266</v>
      </c>
      <c r="C20" s="19" t="s">
        <v>18</v>
      </c>
      <c r="D20" s="413"/>
      <c r="E20" s="20" t="s">
        <v>19</v>
      </c>
      <c r="F20" s="18">
        <v>1.77</v>
      </c>
      <c r="G20" s="13">
        <f t="shared" ref="G20:G39" si="2">I20*0.85</f>
        <v>67.464500000000001</v>
      </c>
      <c r="H20" s="13">
        <f t="shared" ref="H20:H39" si="3">I20*0.15</f>
        <v>11.9055</v>
      </c>
      <c r="I20" s="21">
        <v>79.37</v>
      </c>
      <c r="J20" s="14">
        <f t="shared" ref="J20:J83" si="4">I20*(1+$K$11)</f>
        <v>102.37936300000001</v>
      </c>
      <c r="K20" s="15">
        <f t="shared" ref="K20:K45" si="5">J20*F20</f>
        <v>181.21147251000002</v>
      </c>
      <c r="L20" s="2"/>
      <c r="M20" s="2"/>
      <c r="N20" s="16">
        <f t="shared" si="0"/>
        <v>119.412165</v>
      </c>
      <c r="O20" s="16">
        <f t="shared" si="1"/>
        <v>21.072735000000002</v>
      </c>
      <c r="P20" s="240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30" x14ac:dyDescent="0.2">
      <c r="A21" s="17" t="s">
        <v>20</v>
      </c>
      <c r="B21" s="18">
        <v>102191</v>
      </c>
      <c r="C21" s="19" t="s">
        <v>21</v>
      </c>
      <c r="D21" s="413"/>
      <c r="E21" s="20" t="s">
        <v>16</v>
      </c>
      <c r="F21" s="18">
        <v>0.3</v>
      </c>
      <c r="G21" s="13">
        <f t="shared" si="2"/>
        <v>17.3825</v>
      </c>
      <c r="H21" s="13">
        <f t="shared" si="3"/>
        <v>3.0674999999999999</v>
      </c>
      <c r="I21" s="22">
        <v>20.45</v>
      </c>
      <c r="J21" s="14">
        <f t="shared" si="4"/>
        <v>26.378454999999999</v>
      </c>
      <c r="K21" s="15">
        <f t="shared" si="5"/>
        <v>7.9135364999999993</v>
      </c>
      <c r="L21" s="2"/>
      <c r="M21" s="2"/>
      <c r="N21" s="16">
        <f t="shared" si="0"/>
        <v>5.2147499999999996</v>
      </c>
      <c r="O21" s="16">
        <f t="shared" si="1"/>
        <v>0.9202499999999999</v>
      </c>
      <c r="P21" s="240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30" x14ac:dyDescent="0.2">
      <c r="A22" s="17" t="s">
        <v>22</v>
      </c>
      <c r="B22" s="18">
        <v>100271</v>
      </c>
      <c r="C22" s="19" t="s">
        <v>23</v>
      </c>
      <c r="D22" s="413"/>
      <c r="E22" s="20" t="s">
        <v>19</v>
      </c>
      <c r="F22" s="18">
        <v>0.03</v>
      </c>
      <c r="G22" s="13">
        <f t="shared" si="2"/>
        <v>50.591999999999999</v>
      </c>
      <c r="H22" s="13">
        <f t="shared" si="3"/>
        <v>8.9280000000000008</v>
      </c>
      <c r="I22" s="21">
        <v>59.52</v>
      </c>
      <c r="J22" s="14">
        <f t="shared" si="4"/>
        <v>76.774848000000006</v>
      </c>
      <c r="K22" s="15">
        <f t="shared" si="5"/>
        <v>2.30324544</v>
      </c>
      <c r="L22" s="2"/>
      <c r="M22" s="2"/>
      <c r="N22" s="16">
        <f t="shared" si="0"/>
        <v>1.51776</v>
      </c>
      <c r="O22" s="16">
        <f t="shared" si="1"/>
        <v>0.26784000000000002</v>
      </c>
      <c r="P22" s="240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30" x14ac:dyDescent="0.2">
      <c r="A23" s="17" t="s">
        <v>24</v>
      </c>
      <c r="B23" s="18">
        <v>97645</v>
      </c>
      <c r="C23" s="145" t="s">
        <v>25</v>
      </c>
      <c r="D23" s="413"/>
      <c r="E23" s="20" t="s">
        <v>16</v>
      </c>
      <c r="F23" s="18">
        <f>53.49</f>
        <v>53.49</v>
      </c>
      <c r="G23" s="13">
        <f t="shared" si="2"/>
        <v>20.450999999999997</v>
      </c>
      <c r="H23" s="13">
        <f t="shared" si="3"/>
        <v>3.6089999999999995</v>
      </c>
      <c r="I23" s="21">
        <v>24.06</v>
      </c>
      <c r="J23" s="14">
        <f t="shared" si="4"/>
        <v>31.034994000000001</v>
      </c>
      <c r="K23" s="15">
        <f t="shared" si="5"/>
        <v>1660.06182906</v>
      </c>
      <c r="L23" s="2"/>
      <c r="M23" s="2"/>
      <c r="N23" s="16">
        <f t="shared" si="0"/>
        <v>1093.9239899999998</v>
      </c>
      <c r="O23" s="16">
        <f t="shared" si="1"/>
        <v>193.04540999999998</v>
      </c>
      <c r="P23" s="240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30" x14ac:dyDescent="0.2">
      <c r="A24" s="17" t="s">
        <v>26</v>
      </c>
      <c r="B24" s="18">
        <v>100264</v>
      </c>
      <c r="C24" s="145" t="s">
        <v>27</v>
      </c>
      <c r="D24" s="409"/>
      <c r="E24" s="20" t="s">
        <v>19</v>
      </c>
      <c r="F24" s="18">
        <v>5.43</v>
      </c>
      <c r="G24" s="13">
        <f t="shared" si="2"/>
        <v>31.739000000000001</v>
      </c>
      <c r="H24" s="13">
        <f t="shared" si="3"/>
        <v>5.601</v>
      </c>
      <c r="I24" s="21">
        <v>37.340000000000003</v>
      </c>
      <c r="J24" s="14">
        <f t="shared" si="4"/>
        <v>48.164866000000004</v>
      </c>
      <c r="K24" s="15">
        <f t="shared" si="5"/>
        <v>261.53522237999999</v>
      </c>
      <c r="L24" s="2"/>
      <c r="M24" s="2"/>
      <c r="N24" s="16">
        <f t="shared" si="0"/>
        <v>172.34277</v>
      </c>
      <c r="O24" s="16">
        <f t="shared" si="1"/>
        <v>30.413429999999998</v>
      </c>
      <c r="P24" s="240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30" x14ac:dyDescent="0.2">
      <c r="A25" s="9" t="s">
        <v>28</v>
      </c>
      <c r="B25" s="10">
        <v>97663</v>
      </c>
      <c r="C25" s="11" t="s">
        <v>29</v>
      </c>
      <c r="D25" s="404" t="s">
        <v>30</v>
      </c>
      <c r="E25" s="13" t="s">
        <v>31</v>
      </c>
      <c r="F25" s="10">
        <v>6</v>
      </c>
      <c r="G25" s="13">
        <f t="shared" si="2"/>
        <v>10.548500000000001</v>
      </c>
      <c r="H25" s="13">
        <f t="shared" si="3"/>
        <v>1.8614999999999999</v>
      </c>
      <c r="I25" s="14">
        <v>12.41</v>
      </c>
      <c r="J25" s="14">
        <f t="shared" si="4"/>
        <v>16.007659</v>
      </c>
      <c r="K25" s="15">
        <f t="shared" si="5"/>
        <v>96.045953999999995</v>
      </c>
      <c r="L25" s="2"/>
      <c r="M25" s="2"/>
      <c r="N25" s="16">
        <f t="shared" si="0"/>
        <v>63.291000000000004</v>
      </c>
      <c r="O25" s="16">
        <f t="shared" si="1"/>
        <v>11.169</v>
      </c>
      <c r="P25" s="240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30" x14ac:dyDescent="0.2">
      <c r="A26" s="17" t="s">
        <v>32</v>
      </c>
      <c r="B26" s="18">
        <v>100278</v>
      </c>
      <c r="C26" s="19" t="s">
        <v>33</v>
      </c>
      <c r="D26" s="413"/>
      <c r="E26" s="20" t="s">
        <v>34</v>
      </c>
      <c r="F26" s="18">
        <v>0.6</v>
      </c>
      <c r="G26" s="13">
        <f t="shared" si="2"/>
        <v>32.274499999999996</v>
      </c>
      <c r="H26" s="13">
        <f t="shared" si="3"/>
        <v>5.6955</v>
      </c>
      <c r="I26" s="21">
        <v>37.97</v>
      </c>
      <c r="J26" s="14">
        <f t="shared" si="4"/>
        <v>48.977502999999999</v>
      </c>
      <c r="K26" s="15">
        <f t="shared" si="5"/>
        <v>29.386501799999998</v>
      </c>
      <c r="L26" s="2"/>
      <c r="M26" s="2"/>
      <c r="N26" s="16">
        <f t="shared" si="0"/>
        <v>19.364699999999996</v>
      </c>
      <c r="O26" s="16">
        <f t="shared" si="1"/>
        <v>3.4173</v>
      </c>
      <c r="P26" s="240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30" x14ac:dyDescent="0.2">
      <c r="A27" s="23" t="s">
        <v>35</v>
      </c>
      <c r="B27" s="18">
        <v>97664</v>
      </c>
      <c r="C27" s="19" t="s">
        <v>36</v>
      </c>
      <c r="D27" s="408"/>
      <c r="E27" s="20" t="s">
        <v>31</v>
      </c>
      <c r="F27" s="18">
        <v>6</v>
      </c>
      <c r="G27" s="13">
        <f t="shared" si="2"/>
        <v>1.3089999999999999</v>
      </c>
      <c r="H27" s="13">
        <f t="shared" si="3"/>
        <v>0.23099999999999998</v>
      </c>
      <c r="I27" s="21">
        <v>1.54</v>
      </c>
      <c r="J27" s="14">
        <f t="shared" si="4"/>
        <v>1.9864460000000002</v>
      </c>
      <c r="K27" s="15">
        <f t="shared" si="5"/>
        <v>11.918676000000001</v>
      </c>
      <c r="L27" s="2"/>
      <c r="M27" s="2"/>
      <c r="N27" s="16">
        <f t="shared" si="0"/>
        <v>7.8539999999999992</v>
      </c>
      <c r="O27" s="16">
        <f t="shared" si="1"/>
        <v>1.3859999999999999</v>
      </c>
      <c r="P27" s="240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30" x14ac:dyDescent="0.2">
      <c r="A28" s="24" t="s">
        <v>37</v>
      </c>
      <c r="B28" s="25">
        <v>97642</v>
      </c>
      <c r="C28" s="26" t="s">
        <v>38</v>
      </c>
      <c r="D28" s="26" t="s">
        <v>39</v>
      </c>
      <c r="E28" s="27" t="s">
        <v>16</v>
      </c>
      <c r="F28" s="25">
        <v>9.1</v>
      </c>
      <c r="G28" s="13">
        <f t="shared" si="2"/>
        <v>2.2440000000000002</v>
      </c>
      <c r="H28" s="13">
        <f t="shared" si="3"/>
        <v>0.39600000000000002</v>
      </c>
      <c r="I28" s="28">
        <v>2.64</v>
      </c>
      <c r="J28" s="14">
        <f t="shared" si="4"/>
        <v>3.4053360000000001</v>
      </c>
      <c r="K28" s="15">
        <f t="shared" si="5"/>
        <v>30.9885576</v>
      </c>
      <c r="L28" s="2"/>
      <c r="M28" s="2"/>
      <c r="N28" s="16">
        <f t="shared" si="0"/>
        <v>20.420400000000001</v>
      </c>
      <c r="O28" s="16">
        <f t="shared" si="1"/>
        <v>3.6036000000000001</v>
      </c>
      <c r="P28" s="240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30" x14ac:dyDescent="0.2">
      <c r="A29" s="9" t="s">
        <v>40</v>
      </c>
      <c r="B29" s="10">
        <v>97660</v>
      </c>
      <c r="C29" s="11" t="s">
        <v>41</v>
      </c>
      <c r="D29" s="404" t="s">
        <v>42</v>
      </c>
      <c r="E29" s="13" t="s">
        <v>31</v>
      </c>
      <c r="F29" s="10">
        <v>30</v>
      </c>
      <c r="G29" s="13">
        <f t="shared" si="2"/>
        <v>0.56950000000000001</v>
      </c>
      <c r="H29" s="13">
        <f t="shared" si="3"/>
        <v>0.10050000000000001</v>
      </c>
      <c r="I29" s="14">
        <v>0.67</v>
      </c>
      <c r="J29" s="14">
        <f t="shared" si="4"/>
        <v>0.86423300000000003</v>
      </c>
      <c r="K29" s="15">
        <f t="shared" si="5"/>
        <v>25.92699</v>
      </c>
      <c r="L29" s="2"/>
      <c r="M29" s="2"/>
      <c r="N29" s="16">
        <f t="shared" si="0"/>
        <v>17.085000000000001</v>
      </c>
      <c r="O29" s="16">
        <f t="shared" si="1"/>
        <v>3.0150000000000001</v>
      </c>
      <c r="P29" s="240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30" x14ac:dyDescent="0.2">
      <c r="A30" s="17" t="s">
        <v>43</v>
      </c>
      <c r="B30" s="29">
        <v>97665</v>
      </c>
      <c r="C30" s="30" t="s">
        <v>44</v>
      </c>
      <c r="D30" s="413"/>
      <c r="E30" s="31" t="s">
        <v>31</v>
      </c>
      <c r="F30" s="29">
        <v>25</v>
      </c>
      <c r="G30" s="13">
        <f t="shared" si="2"/>
        <v>1.5640000000000001</v>
      </c>
      <c r="H30" s="13">
        <f t="shared" si="3"/>
        <v>0.27600000000000002</v>
      </c>
      <c r="I30" s="32">
        <v>1.84</v>
      </c>
      <c r="J30" s="14">
        <f t="shared" si="4"/>
        <v>2.3734160000000002</v>
      </c>
      <c r="K30" s="15">
        <f t="shared" si="5"/>
        <v>59.335400000000007</v>
      </c>
      <c r="L30" s="2"/>
      <c r="M30" s="2"/>
      <c r="N30" s="16">
        <f t="shared" si="0"/>
        <v>39.1</v>
      </c>
      <c r="O30" s="16">
        <f t="shared" si="1"/>
        <v>6.9</v>
      </c>
      <c r="P30" s="240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30" x14ac:dyDescent="0.2">
      <c r="A31" s="23" t="s">
        <v>45</v>
      </c>
      <c r="B31" s="29">
        <v>97661</v>
      </c>
      <c r="C31" s="30" t="s">
        <v>46</v>
      </c>
      <c r="D31" s="409"/>
      <c r="E31" s="31" t="s">
        <v>47</v>
      </c>
      <c r="F31" s="29">
        <v>450</v>
      </c>
      <c r="G31" s="13">
        <f t="shared" si="2"/>
        <v>0.61199999999999999</v>
      </c>
      <c r="H31" s="13">
        <f t="shared" si="3"/>
        <v>0.108</v>
      </c>
      <c r="I31" s="32">
        <v>0.72</v>
      </c>
      <c r="J31" s="14">
        <f t="shared" si="4"/>
        <v>0.928728</v>
      </c>
      <c r="K31" s="15">
        <f t="shared" si="5"/>
        <v>417.92759999999998</v>
      </c>
      <c r="L31" s="2"/>
      <c r="M31" s="2"/>
      <c r="N31" s="16">
        <f t="shared" si="0"/>
        <v>275.39999999999998</v>
      </c>
      <c r="O31" s="16">
        <f t="shared" si="1"/>
        <v>48.6</v>
      </c>
      <c r="P31" s="240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30" x14ac:dyDescent="0.2">
      <c r="A32" s="24" t="s">
        <v>48</v>
      </c>
      <c r="B32" s="25">
        <v>97662</v>
      </c>
      <c r="C32" s="26" t="s">
        <v>49</v>
      </c>
      <c r="D32" s="26" t="s">
        <v>50</v>
      </c>
      <c r="E32" s="27" t="s">
        <v>47</v>
      </c>
      <c r="F32" s="25">
        <v>52</v>
      </c>
      <c r="G32" s="13">
        <f t="shared" si="2"/>
        <v>0.41649999999999998</v>
      </c>
      <c r="H32" s="13">
        <f t="shared" si="3"/>
        <v>7.3499999999999996E-2</v>
      </c>
      <c r="I32" s="28">
        <v>0.49</v>
      </c>
      <c r="J32" s="14">
        <f t="shared" si="4"/>
        <v>0.63205100000000003</v>
      </c>
      <c r="K32" s="15">
        <f t="shared" si="5"/>
        <v>32.866652000000002</v>
      </c>
      <c r="L32" s="2"/>
      <c r="M32" s="2"/>
      <c r="N32" s="16">
        <f t="shared" si="0"/>
        <v>21.657999999999998</v>
      </c>
      <c r="O32" s="16">
        <f t="shared" si="1"/>
        <v>3.8219999999999996</v>
      </c>
      <c r="P32" s="240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30" x14ac:dyDescent="0.2">
      <c r="A33" s="9" t="s">
        <v>51</v>
      </c>
      <c r="B33" s="10">
        <v>97622</v>
      </c>
      <c r="C33" s="11" t="s">
        <v>52</v>
      </c>
      <c r="D33" s="404" t="s">
        <v>53</v>
      </c>
      <c r="E33" s="13" t="s">
        <v>16</v>
      </c>
      <c r="F33" s="10">
        <v>10.5</v>
      </c>
      <c r="G33" s="13">
        <f t="shared" si="2"/>
        <v>46.486499999999999</v>
      </c>
      <c r="H33" s="13">
        <f t="shared" si="3"/>
        <v>8.2035</v>
      </c>
      <c r="I33" s="14">
        <v>54.69</v>
      </c>
      <c r="J33" s="14">
        <f t="shared" si="4"/>
        <v>70.544630999999995</v>
      </c>
      <c r="K33" s="15">
        <f t="shared" si="5"/>
        <v>740.71862549999992</v>
      </c>
      <c r="L33" s="2"/>
      <c r="M33" s="2"/>
      <c r="N33" s="16">
        <f t="shared" si="0"/>
        <v>488.10825</v>
      </c>
      <c r="O33" s="16">
        <f t="shared" si="1"/>
        <v>86.136750000000006</v>
      </c>
      <c r="P33" s="240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30" x14ac:dyDescent="0.2">
      <c r="A34" s="17" t="s">
        <v>54</v>
      </c>
      <c r="B34" s="18">
        <v>97626</v>
      </c>
      <c r="C34" s="19" t="s">
        <v>55</v>
      </c>
      <c r="D34" s="413"/>
      <c r="E34" s="20" t="s">
        <v>56</v>
      </c>
      <c r="F34" s="18">
        <v>0.4</v>
      </c>
      <c r="G34" s="13">
        <f t="shared" si="2"/>
        <v>467.25350000000003</v>
      </c>
      <c r="H34" s="13">
        <f t="shared" si="3"/>
        <v>82.456500000000005</v>
      </c>
      <c r="I34" s="21">
        <v>549.71</v>
      </c>
      <c r="J34" s="14">
        <f t="shared" si="4"/>
        <v>709.07092900000009</v>
      </c>
      <c r="K34" s="15">
        <f t="shared" si="5"/>
        <v>283.62837160000004</v>
      </c>
      <c r="L34" s="2"/>
      <c r="M34" s="2"/>
      <c r="N34" s="16">
        <f t="shared" si="0"/>
        <v>186.90140000000002</v>
      </c>
      <c r="O34" s="16">
        <f t="shared" si="1"/>
        <v>32.982600000000005</v>
      </c>
      <c r="P34" s="24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45" x14ac:dyDescent="0.2">
      <c r="A35" s="23" t="s">
        <v>57</v>
      </c>
      <c r="B35" s="33">
        <v>100981</v>
      </c>
      <c r="C35" s="34" t="s">
        <v>58</v>
      </c>
      <c r="D35" s="408"/>
      <c r="E35" s="35" t="s">
        <v>56</v>
      </c>
      <c r="F35" s="33">
        <v>2.5</v>
      </c>
      <c r="G35" s="13">
        <f t="shared" si="2"/>
        <v>7.9304999999999994</v>
      </c>
      <c r="H35" s="13">
        <f t="shared" si="3"/>
        <v>1.3995</v>
      </c>
      <c r="I35" s="36">
        <v>9.33</v>
      </c>
      <c r="J35" s="14">
        <f t="shared" si="4"/>
        <v>12.034767</v>
      </c>
      <c r="K35" s="15">
        <f t="shared" si="5"/>
        <v>30.086917500000002</v>
      </c>
      <c r="L35" s="2"/>
      <c r="M35" s="2"/>
      <c r="N35" s="16">
        <f t="shared" si="0"/>
        <v>19.826249999999998</v>
      </c>
      <c r="O35" s="16">
        <f t="shared" si="1"/>
        <v>3.4987499999999998</v>
      </c>
      <c r="P35" s="240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30" x14ac:dyDescent="0.2">
      <c r="A36" s="9" t="s">
        <v>59</v>
      </c>
      <c r="B36" s="10" t="s">
        <v>1006</v>
      </c>
      <c r="C36" s="11" t="s">
        <v>1007</v>
      </c>
      <c r="D36" s="402" t="s">
        <v>60</v>
      </c>
      <c r="E36" s="13" t="s">
        <v>16</v>
      </c>
      <c r="F36" s="10">
        <v>298</v>
      </c>
      <c r="G36" s="13">
        <f t="shared" si="2"/>
        <v>5.3804999999999996</v>
      </c>
      <c r="H36" s="13">
        <f t="shared" si="3"/>
        <v>0.94950000000000001</v>
      </c>
      <c r="I36" s="14">
        <v>6.33</v>
      </c>
      <c r="J36" s="14">
        <f t="shared" si="4"/>
        <v>8.1650670000000005</v>
      </c>
      <c r="K36" s="15">
        <f t="shared" si="5"/>
        <v>2433.1899660000004</v>
      </c>
      <c r="L36" s="2"/>
      <c r="M36" s="2"/>
      <c r="N36" s="16">
        <f t="shared" si="0"/>
        <v>1603.3889999999999</v>
      </c>
      <c r="O36" s="16">
        <f t="shared" si="1"/>
        <v>282.95100000000002</v>
      </c>
      <c r="P36" s="240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45" x14ac:dyDescent="0.2">
      <c r="A37" s="23" t="s">
        <v>61</v>
      </c>
      <c r="B37" s="33">
        <v>100981</v>
      </c>
      <c r="C37" s="34" t="s">
        <v>58</v>
      </c>
      <c r="D37" s="408"/>
      <c r="E37" s="35" t="s">
        <v>56</v>
      </c>
      <c r="F37" s="33">
        <v>5.96</v>
      </c>
      <c r="G37" s="13">
        <f t="shared" si="2"/>
        <v>7.9304999999999994</v>
      </c>
      <c r="H37" s="13">
        <f t="shared" si="3"/>
        <v>1.3995</v>
      </c>
      <c r="I37" s="36">
        <v>9.33</v>
      </c>
      <c r="J37" s="14">
        <f t="shared" si="4"/>
        <v>12.034767</v>
      </c>
      <c r="K37" s="15">
        <f t="shared" si="5"/>
        <v>71.727211320000009</v>
      </c>
      <c r="L37" s="2"/>
      <c r="M37" s="2"/>
      <c r="N37" s="16">
        <f t="shared" si="0"/>
        <v>47.265779999999999</v>
      </c>
      <c r="O37" s="16">
        <f t="shared" si="1"/>
        <v>8.3410200000000003</v>
      </c>
      <c r="P37" s="240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30" x14ac:dyDescent="0.2">
      <c r="A38" s="9" t="s">
        <v>62</v>
      </c>
      <c r="B38" s="10">
        <v>97629</v>
      </c>
      <c r="C38" s="11" t="s">
        <v>63</v>
      </c>
      <c r="D38" s="404" t="s">
        <v>64</v>
      </c>
      <c r="E38" s="13" t="s">
        <v>56</v>
      </c>
      <c r="F38" s="10">
        <v>0.67</v>
      </c>
      <c r="G38" s="13">
        <f t="shared" si="2"/>
        <v>65.195000000000007</v>
      </c>
      <c r="H38" s="13">
        <f t="shared" si="3"/>
        <v>11.505000000000001</v>
      </c>
      <c r="I38" s="14">
        <v>76.7</v>
      </c>
      <c r="J38" s="14">
        <f t="shared" si="4"/>
        <v>98.935330000000008</v>
      </c>
      <c r="K38" s="15">
        <f t="shared" si="5"/>
        <v>66.286671100000007</v>
      </c>
      <c r="L38" s="2"/>
      <c r="M38" s="2"/>
      <c r="N38" s="16">
        <f t="shared" si="0"/>
        <v>43.680650000000007</v>
      </c>
      <c r="O38" s="16">
        <f t="shared" si="1"/>
        <v>7.7083500000000011</v>
      </c>
      <c r="P38" s="24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45" x14ac:dyDescent="0.2">
      <c r="A39" s="23" t="s">
        <v>65</v>
      </c>
      <c r="B39" s="33">
        <v>100981</v>
      </c>
      <c r="C39" s="34" t="s">
        <v>58</v>
      </c>
      <c r="D39" s="408"/>
      <c r="E39" s="35" t="s">
        <v>56</v>
      </c>
      <c r="F39" s="33">
        <v>0.67</v>
      </c>
      <c r="G39" s="13">
        <f t="shared" si="2"/>
        <v>7.9304999999999994</v>
      </c>
      <c r="H39" s="13">
        <f t="shared" si="3"/>
        <v>1.3995</v>
      </c>
      <c r="I39" s="36">
        <v>9.33</v>
      </c>
      <c r="J39" s="14">
        <f t="shared" si="4"/>
        <v>12.034767</v>
      </c>
      <c r="K39" s="15">
        <f t="shared" si="5"/>
        <v>8.0632938900000006</v>
      </c>
      <c r="L39" s="2"/>
      <c r="M39" s="2"/>
      <c r="N39" s="16">
        <f t="shared" si="0"/>
        <v>5.3134350000000001</v>
      </c>
      <c r="O39" s="16">
        <f t="shared" si="1"/>
        <v>0.93766500000000008</v>
      </c>
      <c r="P39" s="24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75" x14ac:dyDescent="0.2">
      <c r="A40" s="9" t="s">
        <v>66</v>
      </c>
      <c r="B40" s="10">
        <v>90082</v>
      </c>
      <c r="C40" s="11" t="s">
        <v>67</v>
      </c>
      <c r="D40" s="404" t="s">
        <v>68</v>
      </c>
      <c r="E40" s="13" t="s">
        <v>56</v>
      </c>
      <c r="F40" s="10">
        <v>50.4</v>
      </c>
      <c r="G40" s="13">
        <f>I40*0.6</f>
        <v>6.9719999999999995</v>
      </c>
      <c r="H40" s="13">
        <f>I40*0.4</f>
        <v>4.6479999999999997</v>
      </c>
      <c r="I40" s="14">
        <v>11.62</v>
      </c>
      <c r="J40" s="14">
        <f t="shared" si="4"/>
        <v>14.988638</v>
      </c>
      <c r="K40" s="15">
        <f t="shared" si="5"/>
        <v>755.42735519999997</v>
      </c>
      <c r="L40" s="2"/>
      <c r="M40" s="2"/>
      <c r="N40" s="16">
        <f t="shared" si="0"/>
        <v>351.38879999999995</v>
      </c>
      <c r="O40" s="16">
        <f t="shared" si="1"/>
        <v>234.25919999999996</v>
      </c>
      <c r="P40" s="240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45" x14ac:dyDescent="0.2">
      <c r="A41" s="23" t="s">
        <v>69</v>
      </c>
      <c r="B41" s="33">
        <v>100981</v>
      </c>
      <c r="C41" s="34" t="s">
        <v>58</v>
      </c>
      <c r="D41" s="408"/>
      <c r="E41" s="35" t="s">
        <v>56</v>
      </c>
      <c r="F41" s="33">
        <f>F40*1.4</f>
        <v>70.559999999999988</v>
      </c>
      <c r="G41" s="35">
        <f t="shared" ref="G41" si="6">I41*0.625</f>
        <v>5.8312499999999998</v>
      </c>
      <c r="H41" s="35">
        <f t="shared" ref="H41" si="7">I41*0.375</f>
        <v>3.4987500000000002</v>
      </c>
      <c r="I41" s="36">
        <v>9.33</v>
      </c>
      <c r="J41" s="14">
        <f t="shared" si="4"/>
        <v>12.034767</v>
      </c>
      <c r="K41" s="15">
        <f t="shared" si="5"/>
        <v>849.1731595199999</v>
      </c>
      <c r="L41" s="2"/>
      <c r="M41" s="2"/>
      <c r="N41" s="16">
        <f t="shared" si="0"/>
        <v>411.45299999999992</v>
      </c>
      <c r="O41" s="16">
        <f t="shared" si="1"/>
        <v>246.87179999999998</v>
      </c>
      <c r="P41" s="240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60" customHeight="1" x14ac:dyDescent="0.2">
      <c r="A42" s="24" t="s">
        <v>70</v>
      </c>
      <c r="B42" s="25">
        <v>95875</v>
      </c>
      <c r="C42" s="26" t="s">
        <v>594</v>
      </c>
      <c r="D42" s="231" t="s">
        <v>71</v>
      </c>
      <c r="E42" s="27" t="s">
        <v>56</v>
      </c>
      <c r="F42" s="25">
        <f>F41*10</f>
        <v>705.59999999999991</v>
      </c>
      <c r="G42" s="27">
        <f>I42*0.15</f>
        <v>0.36299999999999999</v>
      </c>
      <c r="H42" s="27">
        <f>I42*0.85</f>
        <v>2.0569999999999999</v>
      </c>
      <c r="I42" s="28">
        <v>2.42</v>
      </c>
      <c r="J42" s="14">
        <f t="shared" si="4"/>
        <v>3.1215579999999998</v>
      </c>
      <c r="K42" s="15">
        <f t="shared" si="5"/>
        <v>2202.5713247999997</v>
      </c>
      <c r="L42" s="2"/>
      <c r="M42" s="2"/>
      <c r="N42" s="16">
        <f t="shared" si="0"/>
        <v>256.13279999999997</v>
      </c>
      <c r="O42" s="16">
        <f t="shared" si="1"/>
        <v>1451.4191999999998</v>
      </c>
      <c r="P42" s="240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30" x14ac:dyDescent="0.2">
      <c r="A43" s="24" t="s">
        <v>72</v>
      </c>
      <c r="B43" s="25">
        <v>98524</v>
      </c>
      <c r="C43" s="26" t="s">
        <v>73</v>
      </c>
      <c r="D43" s="404" t="s">
        <v>556</v>
      </c>
      <c r="E43" s="27" t="s">
        <v>16</v>
      </c>
      <c r="F43" s="25">
        <f>25*1.5</f>
        <v>37.5</v>
      </c>
      <c r="G43" s="27">
        <f>I43*0.95</f>
        <v>4.1229999999999993</v>
      </c>
      <c r="H43" s="27">
        <f>I43*0.05</f>
        <v>0.217</v>
      </c>
      <c r="I43" s="28">
        <v>4.34</v>
      </c>
      <c r="J43" s="14">
        <f t="shared" si="4"/>
        <v>5.598166</v>
      </c>
      <c r="K43" s="15">
        <f t="shared" si="5"/>
        <v>209.93122500000001</v>
      </c>
      <c r="L43" s="2"/>
      <c r="M43" s="2"/>
      <c r="N43" s="16">
        <f t="shared" si="0"/>
        <v>154.61249999999998</v>
      </c>
      <c r="O43" s="16">
        <f t="shared" si="1"/>
        <v>8.1374999999999993</v>
      </c>
      <c r="P43" s="24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s="169" customFormat="1" x14ac:dyDescent="0.2">
      <c r="A44" s="24" t="s">
        <v>554</v>
      </c>
      <c r="B44" s="25" t="s">
        <v>555</v>
      </c>
      <c r="C44" s="26" t="s">
        <v>557</v>
      </c>
      <c r="D44" s="400"/>
      <c r="E44" s="35" t="s">
        <v>56</v>
      </c>
      <c r="F44" s="25">
        <f>F43*0.3*1.4</f>
        <v>15.749999999999998</v>
      </c>
      <c r="G44" s="27">
        <f>I44*0.6</f>
        <v>30.731999999999999</v>
      </c>
      <c r="H44" s="27">
        <f>I44*0.4</f>
        <v>20.488</v>
      </c>
      <c r="I44" s="28">
        <v>51.22</v>
      </c>
      <c r="J44" s="14">
        <f t="shared" si="4"/>
        <v>66.068678000000006</v>
      </c>
      <c r="K44" s="15">
        <f t="shared" si="5"/>
        <v>1040.5816785</v>
      </c>
      <c r="L44" s="2"/>
      <c r="M44" s="2"/>
      <c r="N44" s="170">
        <f t="shared" si="0"/>
        <v>484.02899999999994</v>
      </c>
      <c r="O44" s="170">
        <f t="shared" si="1"/>
        <v>322.68599999999998</v>
      </c>
      <c r="P44" s="240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s="169" customFormat="1" x14ac:dyDescent="0.2">
      <c r="A45" s="24" t="s">
        <v>560</v>
      </c>
      <c r="B45" s="25" t="s">
        <v>559</v>
      </c>
      <c r="C45" s="153" t="s">
        <v>929</v>
      </c>
      <c r="D45" s="401"/>
      <c r="E45" s="35" t="s">
        <v>56</v>
      </c>
      <c r="F45" s="25">
        <f>F43*0.3*1.4</f>
        <v>15.749999999999998</v>
      </c>
      <c r="G45" s="27">
        <f>I45*0.8</f>
        <v>39.680000000000007</v>
      </c>
      <c r="H45" s="27">
        <f>I45*0.2</f>
        <v>9.9200000000000017</v>
      </c>
      <c r="I45" s="28">
        <v>49.6</v>
      </c>
      <c r="J45" s="14">
        <f t="shared" si="4"/>
        <v>63.979040000000005</v>
      </c>
      <c r="K45" s="15">
        <f t="shared" si="5"/>
        <v>1007.6698799999999</v>
      </c>
      <c r="L45" s="2"/>
      <c r="M45" s="2"/>
      <c r="N45" s="170">
        <f t="shared" ref="N45" si="8">G45*F45</f>
        <v>624.96</v>
      </c>
      <c r="O45" s="170">
        <f t="shared" ref="O45" si="9">H45*F45</f>
        <v>156.24</v>
      </c>
      <c r="P45" s="240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8.75" x14ac:dyDescent="0.2">
      <c r="A46" s="345" t="s">
        <v>74</v>
      </c>
      <c r="B46" s="346"/>
      <c r="C46" s="346"/>
      <c r="D46" s="347"/>
      <c r="E46" s="348"/>
      <c r="F46" s="348"/>
      <c r="G46" s="7"/>
      <c r="H46" s="7"/>
      <c r="I46" s="37"/>
      <c r="J46" s="37"/>
      <c r="K46" s="8">
        <f>SUM(K47:K69)</f>
        <v>83954.116277430003</v>
      </c>
      <c r="L46" s="2"/>
      <c r="M46" s="2"/>
      <c r="N46" s="16">
        <f t="shared" si="0"/>
        <v>0</v>
      </c>
      <c r="O46" s="16">
        <f t="shared" si="1"/>
        <v>0</v>
      </c>
      <c r="P46" s="240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45" x14ac:dyDescent="0.2">
      <c r="A47" s="9" t="s">
        <v>75</v>
      </c>
      <c r="B47" s="10">
        <v>100341</v>
      </c>
      <c r="C47" s="11" t="s">
        <v>76</v>
      </c>
      <c r="D47" s="404" t="s">
        <v>77</v>
      </c>
      <c r="E47" s="13" t="s">
        <v>16</v>
      </c>
      <c r="F47" s="38">
        <f>ROUND((10.08+1.04*2+0.3*2+5.15+1.35)*1.5*2,2)</f>
        <v>57.78</v>
      </c>
      <c r="G47" s="13">
        <f>I47*0.4</f>
        <v>17.475999999999999</v>
      </c>
      <c r="H47" s="13">
        <f>I47*0.6</f>
        <v>26.213999999999999</v>
      </c>
      <c r="I47" s="14">
        <v>43.69</v>
      </c>
      <c r="J47" s="14">
        <f t="shared" si="4"/>
        <v>56.355730999999999</v>
      </c>
      <c r="K47" s="15">
        <f t="shared" ref="K47" si="10">J47*F47</f>
        <v>3256.2341371799998</v>
      </c>
      <c r="L47" s="2"/>
      <c r="M47" s="2"/>
      <c r="N47" s="16">
        <f t="shared" si="0"/>
        <v>1009.76328</v>
      </c>
      <c r="O47" s="16">
        <f t="shared" si="1"/>
        <v>1514.64492</v>
      </c>
      <c r="P47" s="240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30" x14ac:dyDescent="0.2">
      <c r="A48" s="17" t="s">
        <v>78</v>
      </c>
      <c r="B48" s="18">
        <v>100343</v>
      </c>
      <c r="C48" s="19" t="s">
        <v>79</v>
      </c>
      <c r="D48" s="413"/>
      <c r="E48" s="20" t="s">
        <v>80</v>
      </c>
      <c r="F48" s="39">
        <f>ROUND(F49*75,2)</f>
        <v>444.75</v>
      </c>
      <c r="G48" s="13">
        <f t="shared" ref="G48" si="11">I48*0.4</f>
        <v>5.2200000000000006</v>
      </c>
      <c r="H48" s="13">
        <f t="shared" ref="H48" si="12">I48*0.6</f>
        <v>7.83</v>
      </c>
      <c r="I48" s="21">
        <v>13.05</v>
      </c>
      <c r="J48" s="14">
        <f t="shared" si="4"/>
        <v>16.833195</v>
      </c>
      <c r="K48" s="15">
        <f t="shared" ref="K48:K69" si="13">J48*F48</f>
        <v>7486.5634762500003</v>
      </c>
      <c r="L48" s="2"/>
      <c r="M48" s="2"/>
      <c r="N48" s="16">
        <f t="shared" si="0"/>
        <v>2321.5950000000003</v>
      </c>
      <c r="O48" s="16">
        <f t="shared" si="1"/>
        <v>3482.3924999999999</v>
      </c>
      <c r="P48" s="240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30" x14ac:dyDescent="0.2">
      <c r="A49" s="23" t="s">
        <v>81</v>
      </c>
      <c r="B49" s="33">
        <v>100349</v>
      </c>
      <c r="C49" s="34" t="s">
        <v>82</v>
      </c>
      <c r="D49" s="408"/>
      <c r="E49" s="35" t="s">
        <v>56</v>
      </c>
      <c r="F49" s="40">
        <f>ROUND((10.08+1.04*2+0.3*2+5.15+1.35)*(1.5+0.7)*0.14,2)</f>
        <v>5.93</v>
      </c>
      <c r="G49" s="13">
        <f>I49*0.2</f>
        <v>141.72200000000001</v>
      </c>
      <c r="H49" s="13">
        <f>I49*0.8</f>
        <v>566.88800000000003</v>
      </c>
      <c r="I49" s="36">
        <v>708.61</v>
      </c>
      <c r="J49" s="14">
        <f t="shared" si="4"/>
        <v>914.03603900000007</v>
      </c>
      <c r="K49" s="15">
        <f t="shared" si="13"/>
        <v>5420.2337112699997</v>
      </c>
      <c r="L49" s="2"/>
      <c r="M49" s="2"/>
      <c r="N49" s="16">
        <f t="shared" si="0"/>
        <v>840.41146000000003</v>
      </c>
      <c r="O49" s="16">
        <f t="shared" si="1"/>
        <v>3361.6458400000001</v>
      </c>
      <c r="P49" s="240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45" x14ac:dyDescent="0.2">
      <c r="A50" s="24" t="s">
        <v>83</v>
      </c>
      <c r="B50" s="25">
        <v>102697</v>
      </c>
      <c r="C50" s="153" t="s">
        <v>577</v>
      </c>
      <c r="D50" s="26" t="s">
        <v>84</v>
      </c>
      <c r="E50" s="27" t="s">
        <v>47</v>
      </c>
      <c r="F50" s="41">
        <f>ROUND((10.08+1.04*2+0.3*2+5.15+1.35)+1.2*0.5+1.2*0.5,2)</f>
        <v>20.46</v>
      </c>
      <c r="G50" s="27">
        <f>I50*0.2</f>
        <v>23.37</v>
      </c>
      <c r="H50" s="27">
        <f>I50*0.8</f>
        <v>93.48</v>
      </c>
      <c r="I50" s="28">
        <v>116.85</v>
      </c>
      <c r="J50" s="14">
        <f t="shared" si="4"/>
        <v>150.72481500000001</v>
      </c>
      <c r="K50" s="15">
        <f t="shared" si="13"/>
        <v>3083.8297149000005</v>
      </c>
      <c r="L50" s="2"/>
      <c r="M50" s="2"/>
      <c r="N50" s="16">
        <f t="shared" si="0"/>
        <v>478.15020000000004</v>
      </c>
      <c r="O50" s="16">
        <f t="shared" si="1"/>
        <v>1912.6008000000002</v>
      </c>
      <c r="P50" s="240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s="199" customFormat="1" ht="30" x14ac:dyDescent="0.2">
      <c r="A51" s="9" t="s">
        <v>85</v>
      </c>
      <c r="B51" s="10" t="s">
        <v>578</v>
      </c>
      <c r="C51" s="11" t="s">
        <v>579</v>
      </c>
      <c r="D51" s="404" t="s">
        <v>604</v>
      </c>
      <c r="E51" s="35" t="s">
        <v>56</v>
      </c>
      <c r="F51" s="38">
        <f>ROUND((1.5+0.3+0.3)*0.3*0.3,2)</f>
        <v>0.19</v>
      </c>
      <c r="G51" s="27">
        <f>I51*0.8</f>
        <v>79.888000000000005</v>
      </c>
      <c r="H51" s="27">
        <f>I51*0.2</f>
        <v>19.972000000000001</v>
      </c>
      <c r="I51" s="14">
        <v>99.86</v>
      </c>
      <c r="J51" s="14">
        <f t="shared" si="4"/>
        <v>128.809414</v>
      </c>
      <c r="K51" s="15">
        <f t="shared" si="13"/>
        <v>24.47378866</v>
      </c>
      <c r="L51" s="2"/>
      <c r="M51" s="2"/>
      <c r="N51" s="200">
        <f t="shared" ref="N51:N53" si="14">G51*F51</f>
        <v>15.178720000000002</v>
      </c>
      <c r="O51" s="200">
        <f t="shared" ref="O51:O53" si="15">H51*F51</f>
        <v>3.7946800000000005</v>
      </c>
      <c r="P51" s="240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s="199" customFormat="1" ht="30" x14ac:dyDescent="0.2">
      <c r="A52" s="9" t="s">
        <v>596</v>
      </c>
      <c r="B52" s="18" t="s">
        <v>580</v>
      </c>
      <c r="C52" s="19" t="s">
        <v>591</v>
      </c>
      <c r="D52" s="400"/>
      <c r="E52" s="13" t="s">
        <v>16</v>
      </c>
      <c r="F52" s="39">
        <f>ROUND((0.3+1.5+0.3+10.23)*0.2*3*2+6.4+0.2*3,2)</f>
        <v>21.8</v>
      </c>
      <c r="G52" s="27">
        <f>I52*0.4</f>
        <v>27.128</v>
      </c>
      <c r="H52" s="27">
        <f>I52*0.6</f>
        <v>40.691999999999993</v>
      </c>
      <c r="I52" s="21">
        <v>67.819999999999993</v>
      </c>
      <c r="J52" s="14">
        <f t="shared" si="4"/>
        <v>87.481017999999992</v>
      </c>
      <c r="K52" s="15">
        <f t="shared" si="13"/>
        <v>1907.0861923999998</v>
      </c>
      <c r="L52" s="2"/>
      <c r="M52" s="2"/>
      <c r="N52" s="200">
        <f t="shared" si="14"/>
        <v>591.3904</v>
      </c>
      <c r="O52" s="200">
        <f t="shared" si="15"/>
        <v>887.08559999999989</v>
      </c>
      <c r="P52" s="240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s="199" customFormat="1" ht="30" x14ac:dyDescent="0.2">
      <c r="A53" s="9" t="s">
        <v>597</v>
      </c>
      <c r="B53" s="33" t="s">
        <v>581</v>
      </c>
      <c r="C53" s="34" t="s">
        <v>582</v>
      </c>
      <c r="D53" s="400"/>
      <c r="E53" s="20" t="s">
        <v>80</v>
      </c>
      <c r="F53" s="40">
        <f>ROUND(75*F54,2)</f>
        <v>42</v>
      </c>
      <c r="G53" s="27">
        <f>I53*0.4</f>
        <v>5.6720000000000006</v>
      </c>
      <c r="H53" s="27">
        <f>I53*0.6</f>
        <v>8.5079999999999991</v>
      </c>
      <c r="I53" s="36">
        <v>14.18</v>
      </c>
      <c r="J53" s="14">
        <f t="shared" si="4"/>
        <v>18.290782</v>
      </c>
      <c r="K53" s="15">
        <f t="shared" si="13"/>
        <v>768.21284400000002</v>
      </c>
      <c r="L53" s="2"/>
      <c r="M53" s="2"/>
      <c r="N53" s="200">
        <f t="shared" si="14"/>
        <v>238.22400000000002</v>
      </c>
      <c r="O53" s="200">
        <f t="shared" si="15"/>
        <v>357.33599999999996</v>
      </c>
      <c r="P53" s="240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s="199" customFormat="1" ht="45" x14ac:dyDescent="0.2">
      <c r="A54" s="9" t="s">
        <v>598</v>
      </c>
      <c r="B54" s="10" t="s">
        <v>583</v>
      </c>
      <c r="C54" s="11" t="s">
        <v>584</v>
      </c>
      <c r="D54" s="400"/>
      <c r="E54" s="35" t="s">
        <v>56</v>
      </c>
      <c r="F54" s="39">
        <f>ROUND((0.3+1.5+0.3+10.23)*0.15*0.2+6.4*0.15*0.2,2)</f>
        <v>0.56000000000000005</v>
      </c>
      <c r="G54" s="27">
        <f>I54*0.2</f>
        <v>155.13800000000003</v>
      </c>
      <c r="H54" s="27">
        <f>I54*0.8</f>
        <v>620.55200000000013</v>
      </c>
      <c r="I54" s="14">
        <v>775.69</v>
      </c>
      <c r="J54" s="14">
        <f t="shared" si="4"/>
        <v>1000.5625310000001</v>
      </c>
      <c r="K54" s="15">
        <f t="shared" si="13"/>
        <v>560.31501736000018</v>
      </c>
      <c r="L54" s="2"/>
      <c r="M54" s="2"/>
      <c r="N54" s="200">
        <f t="shared" ref="N54:N57" si="16">G54*F54</f>
        <v>86.877280000000027</v>
      </c>
      <c r="O54" s="200">
        <f t="shared" ref="O54:O57" si="17">H54*F54</f>
        <v>347.50912000000011</v>
      </c>
      <c r="P54" s="240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s="199" customFormat="1" ht="45" x14ac:dyDescent="0.2">
      <c r="A55" s="9" t="s">
        <v>599</v>
      </c>
      <c r="B55" s="18" t="s">
        <v>585</v>
      </c>
      <c r="C55" s="19" t="s">
        <v>586</v>
      </c>
      <c r="D55" s="400"/>
      <c r="E55" s="13" t="s">
        <v>16</v>
      </c>
      <c r="F55" s="39">
        <f>ROUND((0.3+1.5+0.3)*1.1+0.2*6.4+10.38*0.2,2)</f>
        <v>5.67</v>
      </c>
      <c r="G55" s="27">
        <f t="shared" ref="G55:G69" si="18">I55*0.4</f>
        <v>40.908000000000001</v>
      </c>
      <c r="H55" s="27">
        <f t="shared" ref="H55:H119" si="19">I55*0.6</f>
        <v>61.361999999999995</v>
      </c>
      <c r="I55" s="21">
        <v>102.27</v>
      </c>
      <c r="J55" s="14">
        <f t="shared" si="4"/>
        <v>131.91807299999999</v>
      </c>
      <c r="K55" s="15">
        <f t="shared" si="13"/>
        <v>747.97547391000001</v>
      </c>
      <c r="L55" s="2"/>
      <c r="M55" s="2"/>
      <c r="N55" s="200">
        <f t="shared" si="16"/>
        <v>231.94836000000001</v>
      </c>
      <c r="O55" s="200">
        <f t="shared" si="17"/>
        <v>347.92253999999997</v>
      </c>
      <c r="P55" s="240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s="244" customFormat="1" x14ac:dyDescent="0.2">
      <c r="A56" s="23" t="s">
        <v>87</v>
      </c>
      <c r="B56" s="33">
        <v>99814</v>
      </c>
      <c r="C56" s="34" t="s">
        <v>388</v>
      </c>
      <c r="D56" s="400" t="s">
        <v>930</v>
      </c>
      <c r="E56" s="13" t="s">
        <v>16</v>
      </c>
      <c r="F56" s="38">
        <f>ROUND((10.08+1.04*2+0.3*2+5.15+1.35)*1.5*2+(0.3+1.5+0.3)*1.2*2+10.23*0.3+6.4*0.6,2)</f>
        <v>69.73</v>
      </c>
      <c r="G56" s="27">
        <f t="shared" si="18"/>
        <v>0.7320000000000001</v>
      </c>
      <c r="H56" s="27">
        <f t="shared" si="19"/>
        <v>1.0980000000000001</v>
      </c>
      <c r="I56" s="36">
        <v>1.83</v>
      </c>
      <c r="J56" s="14">
        <f t="shared" si="4"/>
        <v>2.3605170000000002</v>
      </c>
      <c r="K56" s="15">
        <f t="shared" si="13"/>
        <v>164.59885041000001</v>
      </c>
      <c r="L56" s="2"/>
      <c r="M56" s="2"/>
      <c r="N56" s="245">
        <f t="shared" ref="N56" si="20">G56*F56</f>
        <v>51.042360000000009</v>
      </c>
      <c r="O56" s="245">
        <f t="shared" ref="O56" si="21">H56*F56</f>
        <v>76.563540000000017</v>
      </c>
      <c r="P56" s="240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s="199" customFormat="1" ht="45" x14ac:dyDescent="0.2">
      <c r="A57" s="23" t="s">
        <v>87</v>
      </c>
      <c r="B57" s="33" t="s">
        <v>587</v>
      </c>
      <c r="C57" s="34" t="s">
        <v>588</v>
      </c>
      <c r="D57" s="400"/>
      <c r="E57" s="13" t="s">
        <v>16</v>
      </c>
      <c r="F57" s="38">
        <f>ROUND((10.08+1.04*2+0.3*2+5.15+1.35)*1.5*2+(0.3+1.5+0.3)*1.2*2+10.23*0.3+6.4*0.6,2)</f>
        <v>69.73</v>
      </c>
      <c r="G57" s="27">
        <f t="shared" si="18"/>
        <v>1.8280000000000003</v>
      </c>
      <c r="H57" s="27">
        <f t="shared" si="19"/>
        <v>2.742</v>
      </c>
      <c r="I57" s="36">
        <v>4.57</v>
      </c>
      <c r="J57" s="14">
        <f t="shared" si="4"/>
        <v>5.8948430000000007</v>
      </c>
      <c r="K57" s="15">
        <f t="shared" si="13"/>
        <v>411.04740239000006</v>
      </c>
      <c r="L57" s="2"/>
      <c r="M57" s="2"/>
      <c r="N57" s="200">
        <f t="shared" si="16"/>
        <v>127.46644000000003</v>
      </c>
      <c r="O57" s="200">
        <f t="shared" si="17"/>
        <v>191.19966000000002</v>
      </c>
      <c r="P57" s="240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s="199" customFormat="1" ht="45" x14ac:dyDescent="0.2">
      <c r="A58" s="23" t="s">
        <v>89</v>
      </c>
      <c r="B58" s="33" t="s">
        <v>589</v>
      </c>
      <c r="C58" s="34" t="s">
        <v>590</v>
      </c>
      <c r="D58" s="401"/>
      <c r="E58" s="13" t="s">
        <v>16</v>
      </c>
      <c r="F58" s="38">
        <f>ROUND((10.08+1.04*2+0.3*2+5.15+1.35)*1.5*2+(0.3+1.5+0.3)*1.2*2+10.23*0.3+6.4*0.6,2)</f>
        <v>69.73</v>
      </c>
      <c r="G58" s="27">
        <f t="shared" si="18"/>
        <v>14.656000000000001</v>
      </c>
      <c r="H58" s="27">
        <f t="shared" si="19"/>
        <v>21.983999999999998</v>
      </c>
      <c r="I58" s="36">
        <v>36.64</v>
      </c>
      <c r="J58" s="14">
        <f t="shared" si="4"/>
        <v>47.261936000000006</v>
      </c>
      <c r="K58" s="15">
        <f t="shared" si="13"/>
        <v>3295.5747972800004</v>
      </c>
      <c r="L58" s="2"/>
      <c r="M58" s="2"/>
      <c r="N58" s="200">
        <f t="shared" ref="N58" si="22">G58*F58</f>
        <v>1021.9628800000002</v>
      </c>
      <c r="O58" s="200">
        <f t="shared" ref="O58" si="23">H58*F58</f>
        <v>1532.9443200000001</v>
      </c>
      <c r="P58" s="240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30" x14ac:dyDescent="0.2">
      <c r="A59" s="24" t="s">
        <v>91</v>
      </c>
      <c r="B59" s="25">
        <v>98557</v>
      </c>
      <c r="C59" s="26" t="s">
        <v>86</v>
      </c>
      <c r="D59" s="26" t="s">
        <v>931</v>
      </c>
      <c r="E59" s="27" t="s">
        <v>16</v>
      </c>
      <c r="F59" s="38">
        <f>ROUND((10.08+1.04*2+0.3*2+5.15+1.35)*1.5,2)</f>
        <v>28.89</v>
      </c>
      <c r="G59" s="27">
        <f t="shared" si="18"/>
        <v>20.288</v>
      </c>
      <c r="H59" s="27">
        <f t="shared" si="19"/>
        <v>30.431999999999999</v>
      </c>
      <c r="I59" s="28">
        <v>50.72</v>
      </c>
      <c r="J59" s="14">
        <f t="shared" si="4"/>
        <v>65.423727999999997</v>
      </c>
      <c r="K59" s="15">
        <f t="shared" si="13"/>
        <v>1890.0915019199999</v>
      </c>
      <c r="L59" s="2"/>
      <c r="M59" s="2"/>
      <c r="N59" s="16">
        <f t="shared" si="0"/>
        <v>586.12031999999999</v>
      </c>
      <c r="O59" s="16">
        <f t="shared" si="1"/>
        <v>879.18047999999999</v>
      </c>
      <c r="P59" s="240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30" customHeight="1" x14ac:dyDescent="0.2">
      <c r="A60" s="9" t="s">
        <v>600</v>
      </c>
      <c r="B60" s="10">
        <v>96396</v>
      </c>
      <c r="C60" s="11" t="s">
        <v>592</v>
      </c>
      <c r="D60" s="404" t="s">
        <v>954</v>
      </c>
      <c r="E60" s="13" t="s">
        <v>56</v>
      </c>
      <c r="F60" s="38">
        <v>3.6</v>
      </c>
      <c r="G60" s="27">
        <f t="shared" si="18"/>
        <v>76.364000000000004</v>
      </c>
      <c r="H60" s="27">
        <f t="shared" si="19"/>
        <v>114.54599999999999</v>
      </c>
      <c r="I60" s="14">
        <v>190.91</v>
      </c>
      <c r="J60" s="14">
        <f t="shared" si="4"/>
        <v>246.25480899999999</v>
      </c>
      <c r="K60" s="15">
        <f t="shared" si="13"/>
        <v>886.51731240000004</v>
      </c>
      <c r="L60" s="2"/>
      <c r="M60" s="2"/>
      <c r="N60" s="16">
        <f t="shared" si="0"/>
        <v>274.91040000000004</v>
      </c>
      <c r="O60" s="16">
        <f t="shared" si="1"/>
        <v>412.36559999999997</v>
      </c>
      <c r="P60" s="240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s="201" customFormat="1" ht="30" x14ac:dyDescent="0.2">
      <c r="A61" s="9" t="s">
        <v>601</v>
      </c>
      <c r="B61" s="10" t="s">
        <v>593</v>
      </c>
      <c r="C61" s="11" t="s">
        <v>594</v>
      </c>
      <c r="D61" s="400"/>
      <c r="E61" s="13" t="s">
        <v>595</v>
      </c>
      <c r="F61" s="38">
        <f>3.6*30</f>
        <v>108</v>
      </c>
      <c r="G61" s="27">
        <f t="shared" si="18"/>
        <v>0.96799999999999997</v>
      </c>
      <c r="H61" s="27">
        <f t="shared" si="19"/>
        <v>1.452</v>
      </c>
      <c r="I61" s="14">
        <v>2.42</v>
      </c>
      <c r="J61" s="14">
        <f t="shared" si="4"/>
        <v>3.1215579999999998</v>
      </c>
      <c r="K61" s="15">
        <f t="shared" si="13"/>
        <v>337.128264</v>
      </c>
      <c r="L61" s="2"/>
      <c r="M61" s="2"/>
      <c r="N61" s="202">
        <f t="shared" ref="N61" si="24">G61*F61</f>
        <v>104.544</v>
      </c>
      <c r="O61" s="202">
        <f t="shared" ref="O61" si="25">H61*F61</f>
        <v>156.816</v>
      </c>
      <c r="P61" s="240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60" x14ac:dyDescent="0.2">
      <c r="A62" s="24" t="s">
        <v>602</v>
      </c>
      <c r="B62" s="25" t="s">
        <v>955</v>
      </c>
      <c r="C62" s="26" t="s">
        <v>956</v>
      </c>
      <c r="D62" s="400"/>
      <c r="E62" s="27" t="s">
        <v>16</v>
      </c>
      <c r="F62" s="41">
        <v>35.85</v>
      </c>
      <c r="G62" s="27">
        <f t="shared" si="18"/>
        <v>33.064</v>
      </c>
      <c r="H62" s="27">
        <f t="shared" si="19"/>
        <v>49.595999999999997</v>
      </c>
      <c r="I62" s="28">
        <v>82.66</v>
      </c>
      <c r="J62" s="14">
        <f t="shared" si="4"/>
        <v>106.62313399999999</v>
      </c>
      <c r="K62" s="15">
        <f t="shared" si="13"/>
        <v>3822.4393538999998</v>
      </c>
      <c r="L62" s="2"/>
      <c r="M62" s="2"/>
      <c r="N62" s="16">
        <f t="shared" si="0"/>
        <v>1185.3444</v>
      </c>
      <c r="O62" s="16">
        <f t="shared" si="1"/>
        <v>1778.0165999999999</v>
      </c>
      <c r="P62" s="240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s="241" customFormat="1" ht="30" x14ac:dyDescent="0.2">
      <c r="A63" s="24" t="s">
        <v>957</v>
      </c>
      <c r="B63" s="25" t="s">
        <v>958</v>
      </c>
      <c r="C63" s="26" t="s">
        <v>959</v>
      </c>
      <c r="D63" s="242"/>
      <c r="E63" s="27" t="s">
        <v>47</v>
      </c>
      <c r="F63" s="41">
        <v>22.05</v>
      </c>
      <c r="G63" s="27">
        <f t="shared" si="18"/>
        <v>0.51600000000000001</v>
      </c>
      <c r="H63" s="27">
        <f t="shared" si="19"/>
        <v>0.77400000000000002</v>
      </c>
      <c r="I63" s="28">
        <v>1.29</v>
      </c>
      <c r="J63" s="14">
        <f t="shared" si="4"/>
        <v>1.6639710000000001</v>
      </c>
      <c r="K63" s="15">
        <f t="shared" si="13"/>
        <v>36.690560550000001</v>
      </c>
      <c r="L63" s="2"/>
      <c r="M63" s="2"/>
      <c r="N63" s="243">
        <f t="shared" ref="N63" si="26">G63*F63</f>
        <v>11.377800000000001</v>
      </c>
      <c r="O63" s="243">
        <f t="shared" ref="O63" si="27">H63*F63</f>
        <v>17.066700000000001</v>
      </c>
      <c r="P63" s="240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30" x14ac:dyDescent="0.2">
      <c r="A64" s="185" t="s">
        <v>92</v>
      </c>
      <c r="B64" s="180">
        <v>102492</v>
      </c>
      <c r="C64" s="173" t="s">
        <v>394</v>
      </c>
      <c r="D64" s="173" t="s">
        <v>488</v>
      </c>
      <c r="E64" s="182" t="s">
        <v>16</v>
      </c>
      <c r="F64" s="181">
        <v>35.85</v>
      </c>
      <c r="G64" s="27">
        <f t="shared" si="18"/>
        <v>9.7640000000000011</v>
      </c>
      <c r="H64" s="27">
        <f t="shared" si="19"/>
        <v>14.645999999999999</v>
      </c>
      <c r="I64" s="182">
        <v>24.41</v>
      </c>
      <c r="J64" s="14">
        <f t="shared" si="4"/>
        <v>31.486459</v>
      </c>
      <c r="K64" s="15">
        <f t="shared" si="13"/>
        <v>1128.7895551500001</v>
      </c>
      <c r="L64" s="2"/>
      <c r="M64" s="16"/>
      <c r="N64" s="16">
        <f t="shared" si="0"/>
        <v>350.03940000000006</v>
      </c>
      <c r="O64" s="16">
        <f t="shared" si="1"/>
        <v>525.05909999999994</v>
      </c>
      <c r="P64" s="240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60" x14ac:dyDescent="0.2">
      <c r="A65" s="9" t="s">
        <v>96</v>
      </c>
      <c r="B65" s="43" t="s">
        <v>97</v>
      </c>
      <c r="C65" s="11" t="s">
        <v>98</v>
      </c>
      <c r="D65" s="404" t="s">
        <v>99</v>
      </c>
      <c r="E65" s="13" t="s">
        <v>47</v>
      </c>
      <c r="F65" s="38">
        <v>28.6</v>
      </c>
      <c r="G65" s="27">
        <f>I65*0.2</f>
        <v>150</v>
      </c>
      <c r="H65" s="27">
        <f>I65*0.8</f>
        <v>600</v>
      </c>
      <c r="I65" s="14">
        <v>750</v>
      </c>
      <c r="J65" s="14">
        <f t="shared" si="4"/>
        <v>967.42500000000007</v>
      </c>
      <c r="K65" s="15">
        <f t="shared" si="13"/>
        <v>27668.355000000003</v>
      </c>
      <c r="L65" s="2"/>
      <c r="M65" s="2"/>
      <c r="N65" s="16">
        <f t="shared" si="0"/>
        <v>4290</v>
      </c>
      <c r="O65" s="16">
        <f t="shared" si="1"/>
        <v>17160</v>
      </c>
      <c r="P65" s="240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30" x14ac:dyDescent="0.2">
      <c r="A66" s="17" t="s">
        <v>100</v>
      </c>
      <c r="B66" s="44" t="s">
        <v>101</v>
      </c>
      <c r="C66" s="19" t="s">
        <v>102</v>
      </c>
      <c r="D66" s="409"/>
      <c r="E66" s="20" t="s">
        <v>47</v>
      </c>
      <c r="F66" s="39">
        <v>60.5</v>
      </c>
      <c r="G66" s="27">
        <f>I66*0.2</f>
        <v>50</v>
      </c>
      <c r="H66" s="27">
        <f>I66*0.8</f>
        <v>200</v>
      </c>
      <c r="I66" s="21">
        <v>250</v>
      </c>
      <c r="J66" s="14">
        <f t="shared" si="4"/>
        <v>322.47500000000002</v>
      </c>
      <c r="K66" s="15">
        <f t="shared" si="13"/>
        <v>19509.737500000003</v>
      </c>
      <c r="L66" s="2"/>
      <c r="M66" s="2"/>
      <c r="N66" s="16">
        <f t="shared" si="0"/>
        <v>3025</v>
      </c>
      <c r="O66" s="16">
        <f t="shared" si="1"/>
        <v>12100</v>
      </c>
      <c r="P66" s="240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">
      <c r="A67" s="179" t="s">
        <v>103</v>
      </c>
      <c r="B67" s="144" t="s">
        <v>606</v>
      </c>
      <c r="C67" s="145" t="s">
        <v>388</v>
      </c>
      <c r="D67" s="411" t="s">
        <v>603</v>
      </c>
      <c r="E67" s="147" t="s">
        <v>16</v>
      </c>
      <c r="F67" s="146">
        <f>ROUND((1.35+5.15+0.3*2+1.04*2+10.08+0.3*2+1.5+10.23)*1.1*2,2)</f>
        <v>69.5</v>
      </c>
      <c r="G67" s="27">
        <f t="shared" si="18"/>
        <v>0.7320000000000001</v>
      </c>
      <c r="H67" s="27">
        <f t="shared" si="19"/>
        <v>1.0980000000000001</v>
      </c>
      <c r="I67" s="147">
        <v>1.83</v>
      </c>
      <c r="J67" s="14">
        <f t="shared" si="4"/>
        <v>2.3605170000000002</v>
      </c>
      <c r="K67" s="15">
        <f t="shared" si="13"/>
        <v>164.05593150000001</v>
      </c>
      <c r="L67" s="2"/>
      <c r="M67" s="2"/>
      <c r="N67" s="16">
        <f t="shared" si="0"/>
        <v>50.874000000000009</v>
      </c>
      <c r="O67" s="16">
        <f t="shared" si="1"/>
        <v>76.311000000000007</v>
      </c>
      <c r="P67" s="240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s="201" customFormat="1" ht="30" x14ac:dyDescent="0.2">
      <c r="A68" s="179" t="s">
        <v>605</v>
      </c>
      <c r="B68" s="144">
        <v>88485</v>
      </c>
      <c r="C68" s="145" t="s">
        <v>383</v>
      </c>
      <c r="D68" s="405"/>
      <c r="E68" s="147" t="s">
        <v>16</v>
      </c>
      <c r="F68" s="146">
        <f>ROUND((1.35+5.15+0.3*2+1.04*2+10.08+0.3*2+1.5+10.23)*1.1*2,2)</f>
        <v>69.5</v>
      </c>
      <c r="G68" s="27">
        <f t="shared" si="18"/>
        <v>1.4160000000000001</v>
      </c>
      <c r="H68" s="27">
        <f t="shared" si="19"/>
        <v>2.1240000000000001</v>
      </c>
      <c r="I68" s="147">
        <v>3.54</v>
      </c>
      <c r="J68" s="14">
        <f t="shared" si="4"/>
        <v>4.5662460000000005</v>
      </c>
      <c r="K68" s="15">
        <f t="shared" si="13"/>
        <v>317.35409700000002</v>
      </c>
      <c r="L68" s="2"/>
      <c r="M68" s="2"/>
      <c r="N68" s="202">
        <f t="shared" ref="N68" si="28">G68*F68</f>
        <v>98.412000000000006</v>
      </c>
      <c r="O68" s="202">
        <f t="shared" ref="O68" si="29">H68*F68</f>
        <v>147.61799999999999</v>
      </c>
      <c r="P68" s="240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30" x14ac:dyDescent="0.2">
      <c r="A69" s="186" t="s">
        <v>105</v>
      </c>
      <c r="B69" s="148">
        <v>88489</v>
      </c>
      <c r="C69" s="187" t="s">
        <v>384</v>
      </c>
      <c r="D69" s="408"/>
      <c r="E69" s="150" t="s">
        <v>16</v>
      </c>
      <c r="F69" s="146">
        <f>ROUND((1.35+5.15+0.3*2+1.04*2+10.08+0.3*2+1.5+10.23)*1.1*2,2)</f>
        <v>69.5</v>
      </c>
      <c r="G69" s="27">
        <f t="shared" si="18"/>
        <v>4.7600000000000007</v>
      </c>
      <c r="H69" s="27">
        <f t="shared" si="19"/>
        <v>7.14</v>
      </c>
      <c r="I69" s="150">
        <v>11.9</v>
      </c>
      <c r="J69" s="14">
        <f t="shared" si="4"/>
        <v>15.349810000000002</v>
      </c>
      <c r="K69" s="15">
        <f t="shared" si="13"/>
        <v>1066.8117950000001</v>
      </c>
      <c r="L69" s="2"/>
      <c r="M69" s="2"/>
      <c r="N69" s="16">
        <f t="shared" si="0"/>
        <v>330.82000000000005</v>
      </c>
      <c r="O69" s="16">
        <f t="shared" si="1"/>
        <v>496.22999999999996</v>
      </c>
      <c r="P69" s="240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8.75" x14ac:dyDescent="0.2">
      <c r="A70" s="345" t="s">
        <v>107</v>
      </c>
      <c r="B70" s="346"/>
      <c r="C70" s="346"/>
      <c r="D70" s="346"/>
      <c r="E70" s="346"/>
      <c r="F70" s="347"/>
      <c r="G70" s="7"/>
      <c r="H70" s="7"/>
      <c r="I70" s="37"/>
      <c r="J70" s="37"/>
      <c r="K70" s="8">
        <f>SUM(K71:K99)</f>
        <v>45853.361758546802</v>
      </c>
      <c r="L70" s="2"/>
      <c r="M70" s="2"/>
      <c r="N70" s="16">
        <f t="shared" si="0"/>
        <v>0</v>
      </c>
      <c r="O70" s="16">
        <f t="shared" si="1"/>
        <v>0</v>
      </c>
      <c r="P70" s="240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60.75" customHeight="1" x14ac:dyDescent="0.2">
      <c r="A71" s="166" t="s">
        <v>108</v>
      </c>
      <c r="B71" s="180">
        <v>104658</v>
      </c>
      <c r="C71" s="153" t="s">
        <v>486</v>
      </c>
      <c r="D71" s="153" t="s">
        <v>489</v>
      </c>
      <c r="E71" s="182" t="s">
        <v>16</v>
      </c>
      <c r="F71" s="156">
        <f>ROUND(28.5*0.25,2)</f>
        <v>7.13</v>
      </c>
      <c r="G71" s="27">
        <f t="shared" ref="G71" si="30">I71*0.4</f>
        <v>51.548000000000002</v>
      </c>
      <c r="H71" s="27">
        <f t="shared" si="19"/>
        <v>77.322000000000003</v>
      </c>
      <c r="I71" s="155">
        <v>128.87</v>
      </c>
      <c r="J71" s="14">
        <f t="shared" si="4"/>
        <v>166.22941300000002</v>
      </c>
      <c r="K71" s="15">
        <f t="shared" ref="K71" si="31">J71*F71</f>
        <v>1185.2157146900001</v>
      </c>
      <c r="L71" s="2"/>
      <c r="M71" s="2"/>
      <c r="N71" s="16">
        <f t="shared" si="0"/>
        <v>367.53724</v>
      </c>
      <c r="O71" s="16">
        <f t="shared" si="1"/>
        <v>551.30586000000005</v>
      </c>
      <c r="P71" s="240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s="167" customFormat="1" ht="60" x14ac:dyDescent="0.2">
      <c r="A72" s="185" t="s">
        <v>487</v>
      </c>
      <c r="B72" s="180">
        <v>87630</v>
      </c>
      <c r="C72" s="173" t="s">
        <v>283</v>
      </c>
      <c r="D72" s="173" t="s">
        <v>492</v>
      </c>
      <c r="E72" s="182" t="s">
        <v>16</v>
      </c>
      <c r="F72" s="181">
        <v>34.58</v>
      </c>
      <c r="G72" s="27">
        <f t="shared" ref="G72:G99" si="32">I72*0.4</f>
        <v>17.336000000000002</v>
      </c>
      <c r="H72" s="27">
        <f t="shared" si="19"/>
        <v>26.004000000000001</v>
      </c>
      <c r="I72" s="182">
        <v>43.34</v>
      </c>
      <c r="J72" s="14">
        <f t="shared" si="4"/>
        <v>55.904266000000007</v>
      </c>
      <c r="K72" s="15">
        <f t="shared" ref="K72:K99" si="33">J72*F72</f>
        <v>1933.1695182800001</v>
      </c>
      <c r="L72" s="2"/>
      <c r="M72" s="2"/>
      <c r="N72" s="168">
        <f t="shared" si="0"/>
        <v>599.47888</v>
      </c>
      <c r="O72" s="168">
        <f t="shared" si="1"/>
        <v>899.21831999999995</v>
      </c>
      <c r="P72" s="240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s="167" customFormat="1" ht="30" x14ac:dyDescent="0.2">
      <c r="A73" s="185" t="s">
        <v>490</v>
      </c>
      <c r="B73" s="180">
        <v>103913</v>
      </c>
      <c r="C73" s="173" t="s">
        <v>564</v>
      </c>
      <c r="D73" s="173" t="s">
        <v>493</v>
      </c>
      <c r="E73" s="182" t="s">
        <v>16</v>
      </c>
      <c r="F73" s="181">
        <v>16.8</v>
      </c>
      <c r="G73" s="27">
        <f t="shared" si="32"/>
        <v>50.460000000000008</v>
      </c>
      <c r="H73" s="27">
        <f t="shared" si="19"/>
        <v>75.69</v>
      </c>
      <c r="I73" s="182">
        <v>126.15</v>
      </c>
      <c r="J73" s="14">
        <f t="shared" si="4"/>
        <v>162.72088500000001</v>
      </c>
      <c r="K73" s="15">
        <f t="shared" si="33"/>
        <v>2733.7108680000001</v>
      </c>
      <c r="L73" s="2"/>
      <c r="M73" s="2"/>
      <c r="N73" s="168">
        <f t="shared" si="0"/>
        <v>847.72800000000018</v>
      </c>
      <c r="O73" s="168">
        <f t="shared" si="1"/>
        <v>1271.5920000000001</v>
      </c>
      <c r="P73" s="240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s="169" customFormat="1" ht="60" x14ac:dyDescent="0.2">
      <c r="A74" s="185" t="s">
        <v>490</v>
      </c>
      <c r="B74" s="180">
        <v>100344</v>
      </c>
      <c r="C74" s="173" t="s">
        <v>494</v>
      </c>
      <c r="D74" s="173" t="s">
        <v>932</v>
      </c>
      <c r="E74" s="182" t="s">
        <v>421</v>
      </c>
      <c r="F74" s="181">
        <v>20.41</v>
      </c>
      <c r="G74" s="27">
        <f t="shared" si="32"/>
        <v>4.6440000000000001</v>
      </c>
      <c r="H74" s="27">
        <f t="shared" si="19"/>
        <v>6.9659999999999993</v>
      </c>
      <c r="I74" s="182">
        <v>11.61</v>
      </c>
      <c r="J74" s="14">
        <f t="shared" si="4"/>
        <v>14.975738999999999</v>
      </c>
      <c r="K74" s="15">
        <f t="shared" si="33"/>
        <v>305.65483298999999</v>
      </c>
      <c r="L74" s="2"/>
      <c r="M74" s="2"/>
      <c r="N74" s="170">
        <f t="shared" ref="N74" si="34">G74*F74</f>
        <v>94.784040000000005</v>
      </c>
      <c r="O74" s="170">
        <f t="shared" ref="O74" si="35">H74*F74</f>
        <v>142.17605999999998</v>
      </c>
      <c r="P74" s="240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45" x14ac:dyDescent="0.2">
      <c r="A75" s="185" t="s">
        <v>110</v>
      </c>
      <c r="B75" s="234" t="s">
        <v>401</v>
      </c>
      <c r="C75" s="173" t="s">
        <v>402</v>
      </c>
      <c r="D75" s="172" t="s">
        <v>491</v>
      </c>
      <c r="E75" s="182" t="s">
        <v>16</v>
      </c>
      <c r="F75" s="181">
        <f>ROUND(F72+F73+31*0.16*2.1,2)</f>
        <v>61.8</v>
      </c>
      <c r="G75" s="27">
        <f t="shared" si="32"/>
        <v>22.172000000000001</v>
      </c>
      <c r="H75" s="27">
        <f t="shared" si="19"/>
        <v>33.257999999999996</v>
      </c>
      <c r="I75" s="182">
        <v>55.43</v>
      </c>
      <c r="J75" s="14">
        <f t="shared" si="4"/>
        <v>71.499156999999997</v>
      </c>
      <c r="K75" s="15">
        <f t="shared" si="33"/>
        <v>4418.6479025999997</v>
      </c>
      <c r="L75" s="2"/>
      <c r="M75" s="2"/>
      <c r="N75" s="16">
        <f>G75*F75</f>
        <v>1370.2295999999999</v>
      </c>
      <c r="O75" s="16">
        <f>H75*F75</f>
        <v>2055.3443999999995</v>
      </c>
      <c r="P75" s="240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30" x14ac:dyDescent="0.2">
      <c r="A76" s="185" t="s">
        <v>111</v>
      </c>
      <c r="B76" s="180">
        <v>88649</v>
      </c>
      <c r="C76" s="173" t="s">
        <v>415</v>
      </c>
      <c r="D76" s="173" t="s">
        <v>417</v>
      </c>
      <c r="E76" s="182" t="s">
        <v>47</v>
      </c>
      <c r="F76" s="181">
        <v>45.25</v>
      </c>
      <c r="G76" s="27">
        <f t="shared" si="32"/>
        <v>2.8440000000000003</v>
      </c>
      <c r="H76" s="27">
        <f t="shared" si="19"/>
        <v>4.266</v>
      </c>
      <c r="I76" s="182">
        <v>7.11</v>
      </c>
      <c r="J76" s="14">
        <f t="shared" si="4"/>
        <v>9.171189</v>
      </c>
      <c r="K76" s="15">
        <f t="shared" si="33"/>
        <v>414.99630224999999</v>
      </c>
      <c r="L76" s="2"/>
      <c r="M76" s="16"/>
      <c r="N76" s="16">
        <f>G76*F76</f>
        <v>128.691</v>
      </c>
      <c r="O76" s="16">
        <f>H76*F76</f>
        <v>193.03649999999999</v>
      </c>
      <c r="P76" s="240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60" x14ac:dyDescent="0.2">
      <c r="A77" s="184" t="s">
        <v>112</v>
      </c>
      <c r="B77" s="191" t="s">
        <v>97</v>
      </c>
      <c r="C77" s="141" t="s">
        <v>98</v>
      </c>
      <c r="D77" s="402" t="s">
        <v>99</v>
      </c>
      <c r="E77" s="142" t="s">
        <v>47</v>
      </c>
      <c r="F77" s="143">
        <v>4.25</v>
      </c>
      <c r="G77" s="27">
        <f>I77*0.2</f>
        <v>150</v>
      </c>
      <c r="H77" s="27">
        <f>I77*0.8</f>
        <v>600</v>
      </c>
      <c r="I77" s="142">
        <v>750</v>
      </c>
      <c r="J77" s="14">
        <f t="shared" si="4"/>
        <v>967.42500000000007</v>
      </c>
      <c r="K77" s="15">
        <f t="shared" si="33"/>
        <v>4111.5562500000005</v>
      </c>
      <c r="L77" s="2"/>
      <c r="M77" s="2"/>
      <c r="N77" s="16">
        <f t="shared" si="0"/>
        <v>637.5</v>
      </c>
      <c r="O77" s="16">
        <f t="shared" si="1"/>
        <v>2550</v>
      </c>
      <c r="P77" s="240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30" x14ac:dyDescent="0.2">
      <c r="A78" s="186" t="s">
        <v>565</v>
      </c>
      <c r="B78" s="235" t="s">
        <v>101</v>
      </c>
      <c r="C78" s="187" t="s">
        <v>102</v>
      </c>
      <c r="D78" s="408"/>
      <c r="E78" s="150" t="s">
        <v>47</v>
      </c>
      <c r="F78" s="151">
        <v>24</v>
      </c>
      <c r="G78" s="27">
        <f>I78*0.2</f>
        <v>50</v>
      </c>
      <c r="H78" s="27">
        <f>I78*0.8</f>
        <v>200</v>
      </c>
      <c r="I78" s="150">
        <v>250</v>
      </c>
      <c r="J78" s="14">
        <f t="shared" si="4"/>
        <v>322.47500000000002</v>
      </c>
      <c r="K78" s="15">
        <f t="shared" si="33"/>
        <v>7739.4000000000005</v>
      </c>
      <c r="L78" s="2"/>
      <c r="M78" s="2"/>
      <c r="N78" s="16">
        <f t="shared" si="0"/>
        <v>1200</v>
      </c>
      <c r="O78" s="16">
        <f t="shared" si="1"/>
        <v>4800</v>
      </c>
      <c r="P78" s="240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45" x14ac:dyDescent="0.2">
      <c r="A79" s="179" t="s">
        <v>113</v>
      </c>
      <c r="B79" s="144">
        <v>87878</v>
      </c>
      <c r="C79" s="145" t="s">
        <v>94</v>
      </c>
      <c r="D79" s="402" t="s">
        <v>114</v>
      </c>
      <c r="E79" s="147" t="s">
        <v>16</v>
      </c>
      <c r="F79" s="146">
        <v>9.3000000000000007</v>
      </c>
      <c r="G79" s="27">
        <f t="shared" si="32"/>
        <v>1.984</v>
      </c>
      <c r="H79" s="27">
        <f t="shared" si="19"/>
        <v>2.976</v>
      </c>
      <c r="I79" s="147">
        <v>4.96</v>
      </c>
      <c r="J79" s="14">
        <f t="shared" si="4"/>
        <v>6.3979040000000005</v>
      </c>
      <c r="K79" s="15">
        <f t="shared" si="33"/>
        <v>59.500507200000008</v>
      </c>
      <c r="L79" s="2"/>
      <c r="M79" s="16"/>
      <c r="N79" s="16">
        <f t="shared" si="0"/>
        <v>18.4512</v>
      </c>
      <c r="O79" s="16">
        <f t="shared" si="1"/>
        <v>27.676800000000004</v>
      </c>
      <c r="P79" s="240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60" x14ac:dyDescent="0.2">
      <c r="A80" s="186" t="s">
        <v>115</v>
      </c>
      <c r="B80" s="148">
        <v>87527</v>
      </c>
      <c r="C80" s="187" t="s">
        <v>95</v>
      </c>
      <c r="D80" s="408"/>
      <c r="E80" s="150" t="s">
        <v>16</v>
      </c>
      <c r="F80" s="151">
        <v>9.3000000000000007</v>
      </c>
      <c r="G80" s="27">
        <f t="shared" si="32"/>
        <v>15.863999999999999</v>
      </c>
      <c r="H80" s="27">
        <f t="shared" si="19"/>
        <v>23.795999999999996</v>
      </c>
      <c r="I80" s="150">
        <v>39.659999999999997</v>
      </c>
      <c r="J80" s="14">
        <f t="shared" si="4"/>
        <v>51.157433999999995</v>
      </c>
      <c r="K80" s="15">
        <f t="shared" si="33"/>
        <v>475.7641362</v>
      </c>
      <c r="L80" s="2"/>
      <c r="M80" s="16"/>
      <c r="N80" s="16">
        <f t="shared" si="0"/>
        <v>147.5352</v>
      </c>
      <c r="O80" s="16">
        <f t="shared" si="1"/>
        <v>221.30279999999999</v>
      </c>
      <c r="P80" s="240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">
      <c r="A81" s="179" t="s">
        <v>116</v>
      </c>
      <c r="B81" s="144" t="s">
        <v>606</v>
      </c>
      <c r="C81" s="145" t="s">
        <v>388</v>
      </c>
      <c r="D81" s="411" t="s">
        <v>935</v>
      </c>
      <c r="E81" s="147" t="s">
        <v>16</v>
      </c>
      <c r="F81" s="146">
        <v>46.5</v>
      </c>
      <c r="G81" s="27">
        <f t="shared" si="32"/>
        <v>0.7320000000000001</v>
      </c>
      <c r="H81" s="27">
        <f t="shared" si="19"/>
        <v>1.0980000000000001</v>
      </c>
      <c r="I81" s="147">
        <v>1.83</v>
      </c>
      <c r="J81" s="14">
        <f t="shared" si="4"/>
        <v>2.3605170000000002</v>
      </c>
      <c r="K81" s="15">
        <f t="shared" si="33"/>
        <v>109.76404050000001</v>
      </c>
      <c r="L81" s="2"/>
      <c r="M81" s="2"/>
      <c r="N81" s="16">
        <f t="shared" si="0"/>
        <v>34.038000000000004</v>
      </c>
      <c r="O81" s="16">
        <f t="shared" si="1"/>
        <v>51.057000000000002</v>
      </c>
      <c r="P81" s="240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s="230" customFormat="1" ht="30" x14ac:dyDescent="0.2">
      <c r="A82" s="186" t="s">
        <v>117</v>
      </c>
      <c r="B82" s="148" t="s">
        <v>934</v>
      </c>
      <c r="C82" s="187" t="s">
        <v>383</v>
      </c>
      <c r="D82" s="405"/>
      <c r="E82" s="150" t="s">
        <v>16</v>
      </c>
      <c r="F82" s="151">
        <v>46.5</v>
      </c>
      <c r="G82" s="27">
        <f t="shared" si="32"/>
        <v>1.4160000000000001</v>
      </c>
      <c r="H82" s="27">
        <f t="shared" si="19"/>
        <v>2.1240000000000001</v>
      </c>
      <c r="I82" s="150">
        <v>3.54</v>
      </c>
      <c r="J82" s="14">
        <f t="shared" si="4"/>
        <v>4.5662460000000005</v>
      </c>
      <c r="K82" s="15">
        <f t="shared" si="33"/>
        <v>212.33043900000001</v>
      </c>
      <c r="L82" s="2"/>
      <c r="M82" s="2"/>
      <c r="N82" s="232">
        <f t="shared" ref="N82" si="36">G82*F82</f>
        <v>65.844000000000008</v>
      </c>
      <c r="O82" s="232">
        <f t="shared" ref="O82" si="37">H82*F82</f>
        <v>98.766000000000005</v>
      </c>
      <c r="P82" s="240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30" x14ac:dyDescent="0.2">
      <c r="A83" s="186" t="s">
        <v>933</v>
      </c>
      <c r="B83" s="148" t="s">
        <v>618</v>
      </c>
      <c r="C83" s="187" t="s">
        <v>619</v>
      </c>
      <c r="D83" s="408"/>
      <c r="E83" s="150" t="s">
        <v>16</v>
      </c>
      <c r="F83" s="151">
        <v>46.5</v>
      </c>
      <c r="G83" s="27">
        <f t="shared" si="32"/>
        <v>7.1400000000000006</v>
      </c>
      <c r="H83" s="27">
        <f t="shared" si="19"/>
        <v>10.71</v>
      </c>
      <c r="I83" s="150">
        <f>11.9*1.5</f>
        <v>17.850000000000001</v>
      </c>
      <c r="J83" s="14">
        <f t="shared" si="4"/>
        <v>23.024715000000004</v>
      </c>
      <c r="K83" s="15">
        <f t="shared" si="33"/>
        <v>1070.6492475000002</v>
      </c>
      <c r="L83" s="2"/>
      <c r="M83" s="2"/>
      <c r="N83" s="16">
        <f t="shared" si="0"/>
        <v>332.01000000000005</v>
      </c>
      <c r="O83" s="16">
        <f t="shared" si="1"/>
        <v>498.01500000000004</v>
      </c>
      <c r="P83" s="240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30" x14ac:dyDescent="0.2">
      <c r="A84" s="17" t="s">
        <v>118</v>
      </c>
      <c r="B84" s="18">
        <v>103946</v>
      </c>
      <c r="C84" s="19" t="s">
        <v>119</v>
      </c>
      <c r="D84" s="19" t="s">
        <v>120</v>
      </c>
      <c r="E84" s="20" t="s">
        <v>16</v>
      </c>
      <c r="F84" s="39">
        <v>7.84</v>
      </c>
      <c r="G84" s="27">
        <f t="shared" si="32"/>
        <v>6.4040000000000008</v>
      </c>
      <c r="H84" s="27">
        <f t="shared" si="19"/>
        <v>9.6059999999999999</v>
      </c>
      <c r="I84" s="21">
        <v>16.010000000000002</v>
      </c>
      <c r="J84" s="14">
        <f t="shared" ref="J84:J149" si="38">I84*(1+$K$11)</f>
        <v>20.651299000000002</v>
      </c>
      <c r="K84" s="15">
        <f t="shared" si="33"/>
        <v>161.90618416000001</v>
      </c>
      <c r="L84" s="2"/>
      <c r="M84" s="2"/>
      <c r="N84" s="16">
        <f t="shared" si="0"/>
        <v>50.207360000000008</v>
      </c>
      <c r="O84" s="16">
        <f t="shared" si="1"/>
        <v>75.311039999999991</v>
      </c>
      <c r="P84" s="240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s="206" customFormat="1" x14ac:dyDescent="0.2">
      <c r="A85" s="166" t="s">
        <v>635</v>
      </c>
      <c r="B85" s="198" t="s">
        <v>615</v>
      </c>
      <c r="C85" s="153" t="s">
        <v>633</v>
      </c>
      <c r="D85" s="153" t="s">
        <v>634</v>
      </c>
      <c r="E85" s="155" t="s">
        <v>31</v>
      </c>
      <c r="F85" s="156">
        <f>31*4</f>
        <v>124</v>
      </c>
      <c r="G85" s="27">
        <f t="shared" si="32"/>
        <v>1.1720000000000002</v>
      </c>
      <c r="H85" s="27">
        <f t="shared" si="19"/>
        <v>1.758</v>
      </c>
      <c r="I85" s="155">
        <v>2.93</v>
      </c>
      <c r="J85" s="14">
        <f t="shared" si="38"/>
        <v>3.7794070000000004</v>
      </c>
      <c r="K85" s="15">
        <f t="shared" si="33"/>
        <v>468.64646800000003</v>
      </c>
      <c r="L85" s="2"/>
      <c r="M85" s="207"/>
      <c r="N85" s="207">
        <f t="shared" si="0"/>
        <v>145.32800000000003</v>
      </c>
      <c r="O85" s="207">
        <f t="shared" si="1"/>
        <v>217.99199999999999</v>
      </c>
      <c r="P85" s="240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s="246" customFormat="1" ht="35.25" customHeight="1" x14ac:dyDescent="0.2">
      <c r="A86" s="166" t="s">
        <v>970</v>
      </c>
      <c r="B86" s="198" t="s">
        <v>615</v>
      </c>
      <c r="C86" s="153" t="s">
        <v>971</v>
      </c>
      <c r="D86" s="153" t="s">
        <v>969</v>
      </c>
      <c r="E86" s="155" t="s">
        <v>47</v>
      </c>
      <c r="F86" s="156">
        <f>31*2.1</f>
        <v>65.100000000000009</v>
      </c>
      <c r="G86" s="27">
        <f t="shared" si="32"/>
        <v>2.8689999999999998</v>
      </c>
      <c r="H86" s="27">
        <f t="shared" si="19"/>
        <v>4.3034999999999997</v>
      </c>
      <c r="I86" s="155">
        <f>143.45/20</f>
        <v>7.1724999999999994</v>
      </c>
      <c r="J86" s="14">
        <f t="shared" si="38"/>
        <v>9.2518077499999993</v>
      </c>
      <c r="K86" s="15">
        <f t="shared" si="33"/>
        <v>602.29268452500003</v>
      </c>
      <c r="L86" s="2"/>
      <c r="M86" s="247"/>
      <c r="N86" s="247">
        <f t="shared" si="0"/>
        <v>186.77190000000002</v>
      </c>
      <c r="O86" s="247">
        <f t="shared" si="1"/>
        <v>280.15785</v>
      </c>
      <c r="P86" s="240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s="228" customFormat="1" ht="30" x14ac:dyDescent="0.2">
      <c r="A87" s="179" t="s">
        <v>866</v>
      </c>
      <c r="B87" s="144" t="s">
        <v>872</v>
      </c>
      <c r="C87" s="145" t="s">
        <v>873</v>
      </c>
      <c r="D87" s="402" t="s">
        <v>936</v>
      </c>
      <c r="E87" s="13" t="s">
        <v>56</v>
      </c>
      <c r="F87" s="146">
        <f>4.7*1.9*0.12</f>
        <v>1.0715999999999999</v>
      </c>
      <c r="G87" s="27">
        <f t="shared" si="32"/>
        <v>102.408</v>
      </c>
      <c r="H87" s="27">
        <f t="shared" si="19"/>
        <v>153.61199999999999</v>
      </c>
      <c r="I87" s="147">
        <v>256.02</v>
      </c>
      <c r="J87" s="14">
        <f t="shared" si="38"/>
        <v>330.24019799999996</v>
      </c>
      <c r="K87" s="15">
        <f t="shared" si="33"/>
        <v>353.88539617679993</v>
      </c>
      <c r="L87" s="2"/>
      <c r="M87" s="229"/>
      <c r="N87" s="229">
        <f t="shared" ref="N87:N92" si="39">G87*F87</f>
        <v>109.74041279999999</v>
      </c>
      <c r="O87" s="229">
        <f t="shared" ref="O87:O92" si="40">H87*F87</f>
        <v>164.61061919999997</v>
      </c>
      <c r="P87" s="240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s="228" customFormat="1" ht="30" x14ac:dyDescent="0.2">
      <c r="A88" s="179" t="s">
        <v>867</v>
      </c>
      <c r="B88" s="148" t="s">
        <v>874</v>
      </c>
      <c r="C88" s="187" t="s">
        <v>875</v>
      </c>
      <c r="D88" s="405"/>
      <c r="E88" s="13" t="s">
        <v>56</v>
      </c>
      <c r="F88" s="151">
        <f>(1.9+4.7+1.9)*0.1*0.5</f>
        <v>0.42500000000000004</v>
      </c>
      <c r="G88" s="27">
        <f t="shared" si="32"/>
        <v>219.88400000000001</v>
      </c>
      <c r="H88" s="27">
        <f t="shared" si="19"/>
        <v>329.82600000000002</v>
      </c>
      <c r="I88" s="150">
        <v>549.71</v>
      </c>
      <c r="J88" s="14">
        <f t="shared" si="38"/>
        <v>709.07092900000009</v>
      </c>
      <c r="K88" s="15">
        <f t="shared" si="33"/>
        <v>301.35514482500008</v>
      </c>
      <c r="L88" s="2"/>
      <c r="M88" s="229"/>
      <c r="N88" s="229">
        <f t="shared" si="39"/>
        <v>93.450700000000012</v>
      </c>
      <c r="O88" s="229">
        <f t="shared" si="40"/>
        <v>140.17605000000003</v>
      </c>
      <c r="P88" s="240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s="228" customFormat="1" ht="45" x14ac:dyDescent="0.2">
      <c r="A89" s="179" t="s">
        <v>868</v>
      </c>
      <c r="B89" s="198" t="s">
        <v>876</v>
      </c>
      <c r="C89" s="145" t="s">
        <v>882</v>
      </c>
      <c r="D89" s="405"/>
      <c r="E89" s="147" t="s">
        <v>47</v>
      </c>
      <c r="F89" s="146">
        <f>3.32*2+3.48+2.84</f>
        <v>12.959999999999999</v>
      </c>
      <c r="G89" s="27">
        <f>I89*0.2</f>
        <v>71.820000000000007</v>
      </c>
      <c r="H89" s="27">
        <f>I89*0.8</f>
        <v>287.28000000000003</v>
      </c>
      <c r="I89" s="147">
        <v>359.1</v>
      </c>
      <c r="J89" s="14">
        <f t="shared" si="38"/>
        <v>463.20309000000003</v>
      </c>
      <c r="K89" s="15">
        <f t="shared" si="33"/>
        <v>6003.1120463999996</v>
      </c>
      <c r="L89" s="2"/>
      <c r="M89" s="2"/>
      <c r="N89" s="229">
        <f t="shared" si="39"/>
        <v>930.78719999999998</v>
      </c>
      <c r="O89" s="229">
        <f t="shared" si="40"/>
        <v>3723.1487999999999</v>
      </c>
      <c r="P89" s="240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s="228" customFormat="1" ht="30" x14ac:dyDescent="0.2">
      <c r="A90" s="179" t="s">
        <v>869</v>
      </c>
      <c r="B90" s="148" t="s">
        <v>879</v>
      </c>
      <c r="C90" s="187" t="s">
        <v>878</v>
      </c>
      <c r="D90" s="405"/>
      <c r="E90" s="150" t="s">
        <v>31</v>
      </c>
      <c r="F90" s="151">
        <f>4+3+1+2</f>
        <v>10</v>
      </c>
      <c r="G90" s="27">
        <f t="shared" si="32"/>
        <v>10.704000000000001</v>
      </c>
      <c r="H90" s="27">
        <f t="shared" si="19"/>
        <v>16.056000000000001</v>
      </c>
      <c r="I90" s="150">
        <f>13.38*2</f>
        <v>26.76</v>
      </c>
      <c r="J90" s="14">
        <f t="shared" si="38"/>
        <v>34.517724000000001</v>
      </c>
      <c r="K90" s="15">
        <f t="shared" si="33"/>
        <v>345.17723999999998</v>
      </c>
      <c r="L90" s="2"/>
      <c r="M90" s="2"/>
      <c r="N90" s="229">
        <f t="shared" si="39"/>
        <v>107.04</v>
      </c>
      <c r="O90" s="229">
        <f t="shared" si="40"/>
        <v>160.56</v>
      </c>
      <c r="P90" s="240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s="228" customFormat="1" ht="30" x14ac:dyDescent="0.2">
      <c r="A91" s="179" t="s">
        <v>870</v>
      </c>
      <c r="B91" s="148" t="s">
        <v>877</v>
      </c>
      <c r="C91" s="187" t="s">
        <v>878</v>
      </c>
      <c r="D91" s="405"/>
      <c r="E91" s="147" t="s">
        <v>31</v>
      </c>
      <c r="F91" s="146">
        <f>2+2</f>
        <v>4</v>
      </c>
      <c r="G91" s="27">
        <f t="shared" si="32"/>
        <v>5.3520000000000003</v>
      </c>
      <c r="H91" s="27">
        <f t="shared" si="19"/>
        <v>8.0280000000000005</v>
      </c>
      <c r="I91" s="147">
        <v>13.38</v>
      </c>
      <c r="J91" s="14">
        <f t="shared" si="38"/>
        <v>17.258862000000001</v>
      </c>
      <c r="K91" s="15">
        <f t="shared" si="33"/>
        <v>69.035448000000002</v>
      </c>
      <c r="L91" s="2"/>
      <c r="M91" s="2"/>
      <c r="N91" s="229">
        <f t="shared" si="39"/>
        <v>21.408000000000001</v>
      </c>
      <c r="O91" s="229">
        <f t="shared" si="40"/>
        <v>32.112000000000002</v>
      </c>
      <c r="P91" s="240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s="228" customFormat="1" ht="45" x14ac:dyDescent="0.2">
      <c r="A92" s="179" t="s">
        <v>871</v>
      </c>
      <c r="B92" s="183" t="s">
        <v>880</v>
      </c>
      <c r="C92" s="153" t="s">
        <v>881</v>
      </c>
      <c r="D92" s="405"/>
      <c r="E92" s="155" t="s">
        <v>421</v>
      </c>
      <c r="F92" s="156">
        <f>8.25*4.09*2</f>
        <v>67.484999999999999</v>
      </c>
      <c r="G92" s="27">
        <f>I92*0.2</f>
        <v>3.2439999999999998</v>
      </c>
      <c r="H92" s="27">
        <f>I92*0.8</f>
        <v>12.975999999999999</v>
      </c>
      <c r="I92" s="155">
        <v>16.22</v>
      </c>
      <c r="J92" s="14">
        <f t="shared" si="38"/>
        <v>20.922177999999999</v>
      </c>
      <c r="K92" s="15">
        <f t="shared" si="33"/>
        <v>1411.9331823299999</v>
      </c>
      <c r="L92" s="2"/>
      <c r="M92" s="229"/>
      <c r="N92" s="229">
        <f t="shared" si="39"/>
        <v>218.92133999999999</v>
      </c>
      <c r="O92" s="229">
        <f t="shared" si="40"/>
        <v>875.68535999999995</v>
      </c>
      <c r="P92" s="240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s="228" customFormat="1" ht="45" x14ac:dyDescent="0.2">
      <c r="A93" s="179" t="s">
        <v>888</v>
      </c>
      <c r="B93" s="183" t="s">
        <v>883</v>
      </c>
      <c r="C93" s="187" t="s">
        <v>937</v>
      </c>
      <c r="D93" s="405"/>
      <c r="E93" s="150" t="s">
        <v>31</v>
      </c>
      <c r="F93" s="151">
        <v>4</v>
      </c>
      <c r="G93" s="27">
        <f t="shared" ref="G93:G94" si="41">I93*0.2</f>
        <v>236.79400000000001</v>
      </c>
      <c r="H93" s="27">
        <f t="shared" ref="H93:H94" si="42">I93*0.8</f>
        <v>947.17600000000004</v>
      </c>
      <c r="I93" s="150">
        <v>1183.97</v>
      </c>
      <c r="J93" s="14">
        <f t="shared" si="38"/>
        <v>1527.2029030000001</v>
      </c>
      <c r="K93" s="15">
        <f t="shared" si="33"/>
        <v>6108.8116120000004</v>
      </c>
      <c r="L93" s="2"/>
      <c r="M93" s="2"/>
      <c r="N93" s="229">
        <f t="shared" ref="N93:N95" si="43">G93*F93</f>
        <v>947.17600000000004</v>
      </c>
      <c r="O93" s="229">
        <f t="shared" ref="O93:O95" si="44">H93*F93</f>
        <v>3788.7040000000002</v>
      </c>
      <c r="P93" s="240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s="228" customFormat="1" ht="60" x14ac:dyDescent="0.2">
      <c r="A94" s="179" t="s">
        <v>889</v>
      </c>
      <c r="B94" s="183" t="s">
        <v>885</v>
      </c>
      <c r="C94" s="145" t="s">
        <v>886</v>
      </c>
      <c r="D94" s="405"/>
      <c r="E94" s="147" t="s">
        <v>421</v>
      </c>
      <c r="F94" s="146">
        <f>ROUND(2.95*8*3.97,2)</f>
        <v>93.69</v>
      </c>
      <c r="G94" s="27">
        <f t="shared" si="41"/>
        <v>2.9480000000000004</v>
      </c>
      <c r="H94" s="27">
        <f t="shared" si="42"/>
        <v>11.792000000000002</v>
      </c>
      <c r="I94" s="147">
        <v>14.74</v>
      </c>
      <c r="J94" s="14">
        <f t="shared" si="38"/>
        <v>19.013126</v>
      </c>
      <c r="K94" s="15">
        <f t="shared" si="33"/>
        <v>1781.3397749399999</v>
      </c>
      <c r="L94" s="2"/>
      <c r="M94" s="2"/>
      <c r="N94" s="229">
        <f t="shared" si="43"/>
        <v>276.19812000000002</v>
      </c>
      <c r="O94" s="229">
        <f t="shared" si="44"/>
        <v>1104.7924800000001</v>
      </c>
      <c r="P94" s="240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s="228" customFormat="1" ht="30" x14ac:dyDescent="0.2">
      <c r="A95" s="179" t="s">
        <v>890</v>
      </c>
      <c r="B95" s="144" t="s">
        <v>887</v>
      </c>
      <c r="C95" s="153" t="s">
        <v>303</v>
      </c>
      <c r="D95" s="405"/>
      <c r="E95" s="150" t="s">
        <v>16</v>
      </c>
      <c r="F95" s="156">
        <v>23.42</v>
      </c>
      <c r="G95" s="27">
        <f t="shared" si="32"/>
        <v>25.78</v>
      </c>
      <c r="H95" s="27">
        <f t="shared" si="19"/>
        <v>38.67</v>
      </c>
      <c r="I95" s="155">
        <v>64.45</v>
      </c>
      <c r="J95" s="14">
        <f t="shared" si="38"/>
        <v>83.134055000000004</v>
      </c>
      <c r="K95" s="15">
        <f t="shared" si="33"/>
        <v>1946.9995681000003</v>
      </c>
      <c r="L95" s="2"/>
      <c r="M95" s="229"/>
      <c r="N95" s="229">
        <f t="shared" si="43"/>
        <v>603.76760000000002</v>
      </c>
      <c r="O95" s="229">
        <f t="shared" si="44"/>
        <v>905.65140000000008</v>
      </c>
      <c r="P95" s="240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s="228" customFormat="1" ht="30" x14ac:dyDescent="0.2">
      <c r="A96" s="179" t="s">
        <v>891</v>
      </c>
      <c r="B96" s="148" t="s">
        <v>893</v>
      </c>
      <c r="C96" s="187" t="s">
        <v>894</v>
      </c>
      <c r="D96" s="405"/>
      <c r="E96" s="150" t="s">
        <v>47</v>
      </c>
      <c r="F96" s="151">
        <v>5.9</v>
      </c>
      <c r="G96" s="27">
        <f t="shared" si="32"/>
        <v>20</v>
      </c>
      <c r="H96" s="27">
        <f t="shared" si="19"/>
        <v>30</v>
      </c>
      <c r="I96" s="150">
        <v>50</v>
      </c>
      <c r="J96" s="14">
        <f t="shared" si="38"/>
        <v>64.495000000000005</v>
      </c>
      <c r="K96" s="15">
        <f t="shared" si="33"/>
        <v>380.52050000000003</v>
      </c>
      <c r="L96" s="2"/>
      <c r="M96" s="2"/>
      <c r="N96" s="229">
        <f t="shared" ref="N96:N99" si="45">G96*F96</f>
        <v>118</v>
      </c>
      <c r="O96" s="229">
        <f t="shared" ref="O96:O99" si="46">H96*F96</f>
        <v>177</v>
      </c>
      <c r="P96" s="240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s="228" customFormat="1" ht="45" x14ac:dyDescent="0.2">
      <c r="A97" s="179" t="s">
        <v>892</v>
      </c>
      <c r="B97" s="144" t="s">
        <v>895</v>
      </c>
      <c r="C97" s="145" t="s">
        <v>896</v>
      </c>
      <c r="D97" s="405"/>
      <c r="E97" s="150" t="s">
        <v>16</v>
      </c>
      <c r="F97" s="146">
        <f>ROUND((2*0.5*4.08+4*0.4*2.8*3+8*0.3*3.87)*2,2)</f>
        <v>53.62</v>
      </c>
      <c r="G97" s="27">
        <f t="shared" si="32"/>
        <v>4.5040000000000004</v>
      </c>
      <c r="H97" s="27">
        <f t="shared" si="19"/>
        <v>6.7559999999999993</v>
      </c>
      <c r="I97" s="147">
        <v>11.26</v>
      </c>
      <c r="J97" s="14">
        <f t="shared" si="38"/>
        <v>14.524274</v>
      </c>
      <c r="K97" s="15">
        <f t="shared" si="33"/>
        <v>778.79157187999999</v>
      </c>
      <c r="L97" s="2"/>
      <c r="M97" s="2"/>
      <c r="N97" s="229">
        <f t="shared" si="45"/>
        <v>241.50448</v>
      </c>
      <c r="O97" s="229">
        <f t="shared" si="46"/>
        <v>362.25671999999997</v>
      </c>
      <c r="P97" s="240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s="397" customFormat="1" ht="45" x14ac:dyDescent="0.2">
      <c r="A98" s="166" t="s">
        <v>834</v>
      </c>
      <c r="B98" s="152" t="s">
        <v>1234</v>
      </c>
      <c r="C98" s="153" t="s">
        <v>1235</v>
      </c>
      <c r="D98" s="402" t="s">
        <v>552</v>
      </c>
      <c r="E98" s="155" t="s">
        <v>47</v>
      </c>
      <c r="F98" s="156">
        <v>11</v>
      </c>
      <c r="G98" s="147">
        <f t="shared" si="32"/>
        <v>8.1840000000000011</v>
      </c>
      <c r="H98" s="147">
        <f t="shared" si="19"/>
        <v>12.276</v>
      </c>
      <c r="I98" s="155">
        <v>20.46</v>
      </c>
      <c r="J98" s="14">
        <f t="shared" si="38"/>
        <v>26.391354000000003</v>
      </c>
      <c r="K98" s="15">
        <f t="shared" si="33"/>
        <v>290.30489400000005</v>
      </c>
      <c r="L98" s="2"/>
      <c r="M98" s="396"/>
      <c r="N98" s="396">
        <f t="shared" si="45"/>
        <v>90.024000000000015</v>
      </c>
      <c r="O98" s="396">
        <f t="shared" si="46"/>
        <v>135.036</v>
      </c>
      <c r="P98" s="240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s="397" customFormat="1" ht="60" x14ac:dyDescent="0.2">
      <c r="A99" s="166" t="s">
        <v>835</v>
      </c>
      <c r="B99" s="152" t="s">
        <v>1236</v>
      </c>
      <c r="C99" s="153" t="s">
        <v>1237</v>
      </c>
      <c r="D99" s="403"/>
      <c r="E99" s="155" t="s">
        <v>47</v>
      </c>
      <c r="F99" s="156">
        <v>11</v>
      </c>
      <c r="G99" s="147">
        <f t="shared" si="32"/>
        <v>2.2239999999999998</v>
      </c>
      <c r="H99" s="147">
        <f t="shared" si="19"/>
        <v>3.3359999999999999</v>
      </c>
      <c r="I99" s="155">
        <v>5.56</v>
      </c>
      <c r="J99" s="14">
        <f t="shared" si="38"/>
        <v>7.1718440000000001</v>
      </c>
      <c r="K99" s="15">
        <f t="shared" si="33"/>
        <v>78.890284000000008</v>
      </c>
      <c r="L99" s="2"/>
      <c r="M99" s="396"/>
      <c r="N99" s="396">
        <f t="shared" si="45"/>
        <v>24.463999999999999</v>
      </c>
      <c r="O99" s="396">
        <f t="shared" si="46"/>
        <v>36.695999999999998</v>
      </c>
      <c r="P99" s="240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8.75" x14ac:dyDescent="0.2">
      <c r="A100" s="345" t="s">
        <v>121</v>
      </c>
      <c r="B100" s="346"/>
      <c r="C100" s="346"/>
      <c r="D100" s="346"/>
      <c r="E100" s="346"/>
      <c r="F100" s="347"/>
      <c r="G100" s="348"/>
      <c r="H100" s="7"/>
      <c r="I100" s="37"/>
      <c r="J100" s="37"/>
      <c r="K100" s="8">
        <f>SUM(K101:K111)</f>
        <v>10070.122889800001</v>
      </c>
      <c r="L100" s="2"/>
      <c r="M100" s="2"/>
      <c r="N100" s="16">
        <f t="shared" si="0"/>
        <v>0</v>
      </c>
      <c r="O100" s="16">
        <f t="shared" si="1"/>
        <v>0</v>
      </c>
      <c r="P100" s="240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30" x14ac:dyDescent="0.2">
      <c r="A101" s="9" t="s">
        <v>122</v>
      </c>
      <c r="B101" s="140">
        <v>96396</v>
      </c>
      <c r="C101" s="141" t="s">
        <v>608</v>
      </c>
      <c r="D101" s="402" t="s">
        <v>442</v>
      </c>
      <c r="E101" s="142" t="s">
        <v>56</v>
      </c>
      <c r="F101" s="143">
        <v>1.97</v>
      </c>
      <c r="G101" s="27">
        <f t="shared" ref="G101" si="47">I101*0.4</f>
        <v>76.364000000000004</v>
      </c>
      <c r="H101" s="27">
        <f t="shared" si="19"/>
        <v>114.54599999999999</v>
      </c>
      <c r="I101" s="142">
        <v>190.91</v>
      </c>
      <c r="J101" s="14">
        <f t="shared" si="38"/>
        <v>246.25480899999999</v>
      </c>
      <c r="K101" s="15">
        <f t="shared" ref="K101" si="48">J101*F101</f>
        <v>485.12197372999998</v>
      </c>
      <c r="L101" s="2"/>
      <c r="M101" s="2"/>
      <c r="N101" s="16">
        <f t="shared" si="0"/>
        <v>150.43708000000001</v>
      </c>
      <c r="O101" s="16">
        <f t="shared" si="1"/>
        <v>225.65561999999997</v>
      </c>
      <c r="P101" s="240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s="201" customFormat="1" ht="30" x14ac:dyDescent="0.2">
      <c r="A102" s="9" t="s">
        <v>123</v>
      </c>
      <c r="B102" s="10" t="s">
        <v>593</v>
      </c>
      <c r="C102" s="11" t="s">
        <v>594</v>
      </c>
      <c r="D102" s="405"/>
      <c r="E102" s="13" t="s">
        <v>595</v>
      </c>
      <c r="F102" s="38">
        <f>F101*30</f>
        <v>59.1</v>
      </c>
      <c r="G102" s="27">
        <f t="shared" ref="G102:G111" si="49">I102*0.4</f>
        <v>0.96799999999999997</v>
      </c>
      <c r="H102" s="27">
        <f t="shared" si="19"/>
        <v>1.452</v>
      </c>
      <c r="I102" s="142">
        <v>2.42</v>
      </c>
      <c r="J102" s="14">
        <f t="shared" si="38"/>
        <v>3.1215579999999998</v>
      </c>
      <c r="K102" s="15">
        <f t="shared" ref="K102:K111" si="50">J102*F102</f>
        <v>184.48407779999999</v>
      </c>
      <c r="L102" s="2"/>
      <c r="M102" s="2"/>
      <c r="N102" s="202">
        <f t="shared" ref="N102" si="51">G102*F102</f>
        <v>57.208799999999997</v>
      </c>
      <c r="O102" s="202">
        <f t="shared" ref="O102" si="52">H102*F102</f>
        <v>85.813199999999995</v>
      </c>
      <c r="P102" s="240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45" x14ac:dyDescent="0.2">
      <c r="A103" s="9" t="s">
        <v>125</v>
      </c>
      <c r="B103" s="144">
        <v>92397</v>
      </c>
      <c r="C103" s="145" t="s">
        <v>124</v>
      </c>
      <c r="D103" s="405"/>
      <c r="E103" s="144" t="s">
        <v>16</v>
      </c>
      <c r="F103" s="146">
        <v>19.7</v>
      </c>
      <c r="G103" s="27">
        <f t="shared" si="49"/>
        <v>25.236000000000004</v>
      </c>
      <c r="H103" s="27">
        <f t="shared" si="19"/>
        <v>37.853999999999999</v>
      </c>
      <c r="I103" s="147">
        <v>63.09</v>
      </c>
      <c r="J103" s="14">
        <f t="shared" si="38"/>
        <v>81.379791000000012</v>
      </c>
      <c r="K103" s="15">
        <f t="shared" si="50"/>
        <v>1603.1818827000002</v>
      </c>
      <c r="L103" s="2"/>
      <c r="M103" s="16"/>
      <c r="N103" s="16">
        <f t="shared" si="0"/>
        <v>497.14920000000006</v>
      </c>
      <c r="O103" s="16">
        <f t="shared" si="1"/>
        <v>745.72379999999998</v>
      </c>
      <c r="P103" s="240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30" x14ac:dyDescent="0.2">
      <c r="A104" s="9" t="s">
        <v>440</v>
      </c>
      <c r="B104" s="148">
        <v>102500</v>
      </c>
      <c r="C104" s="149" t="s">
        <v>126</v>
      </c>
      <c r="D104" s="405"/>
      <c r="E104" s="150" t="s">
        <v>47</v>
      </c>
      <c r="F104" s="151">
        <v>32.299999999999997</v>
      </c>
      <c r="G104" s="27">
        <f t="shared" si="49"/>
        <v>1.7120000000000002</v>
      </c>
      <c r="H104" s="27">
        <f t="shared" si="19"/>
        <v>2.5680000000000001</v>
      </c>
      <c r="I104" s="150">
        <v>4.28</v>
      </c>
      <c r="J104" s="14">
        <f t="shared" si="38"/>
        <v>5.5207720000000009</v>
      </c>
      <c r="K104" s="15">
        <f t="shared" si="50"/>
        <v>178.32093560000001</v>
      </c>
      <c r="L104" s="2"/>
      <c r="M104" s="2"/>
      <c r="N104" s="16">
        <f t="shared" si="0"/>
        <v>55.297600000000003</v>
      </c>
      <c r="O104" s="16">
        <f t="shared" si="1"/>
        <v>82.946399999999997</v>
      </c>
      <c r="P104" s="240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s="162" customFormat="1" ht="45" x14ac:dyDescent="0.2">
      <c r="A105" s="9" t="s">
        <v>441</v>
      </c>
      <c r="B105" s="25" t="s">
        <v>435</v>
      </c>
      <c r="C105" s="26" t="s">
        <v>436</v>
      </c>
      <c r="D105" s="405"/>
      <c r="E105" s="27" t="s">
        <v>31</v>
      </c>
      <c r="F105" s="41">
        <v>1</v>
      </c>
      <c r="G105" s="27">
        <f t="shared" si="49"/>
        <v>173.22800000000001</v>
      </c>
      <c r="H105" s="27">
        <f t="shared" si="19"/>
        <v>259.84199999999998</v>
      </c>
      <c r="I105" s="28">
        <f>433.07</f>
        <v>433.07</v>
      </c>
      <c r="J105" s="14">
        <f t="shared" si="38"/>
        <v>558.61699299999998</v>
      </c>
      <c r="K105" s="15">
        <f t="shared" si="50"/>
        <v>558.61699299999998</v>
      </c>
      <c r="L105" s="2"/>
      <c r="M105" s="2"/>
      <c r="N105" s="163">
        <f t="shared" ref="N105:N106" si="53">G105*F105</f>
        <v>173.22800000000001</v>
      </c>
      <c r="O105" s="163">
        <f t="shared" ref="O105:O106" si="54">H105*F105</f>
        <v>259.84199999999998</v>
      </c>
      <c r="P105" s="240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s="162" customFormat="1" ht="30" x14ac:dyDescent="0.2">
      <c r="A106" s="9" t="s">
        <v>607</v>
      </c>
      <c r="B106" s="25" t="s">
        <v>438</v>
      </c>
      <c r="C106" s="26" t="s">
        <v>437</v>
      </c>
      <c r="D106" s="403"/>
      <c r="E106" s="27" t="s">
        <v>31</v>
      </c>
      <c r="F106" s="41">
        <v>1</v>
      </c>
      <c r="G106" s="27">
        <f t="shared" si="49"/>
        <v>67.972000000000008</v>
      </c>
      <c r="H106" s="27">
        <f t="shared" si="19"/>
        <v>101.958</v>
      </c>
      <c r="I106" s="28">
        <f>169.93</f>
        <v>169.93</v>
      </c>
      <c r="J106" s="14">
        <f t="shared" si="38"/>
        <v>219.19270700000001</v>
      </c>
      <c r="K106" s="15">
        <f t="shared" si="50"/>
        <v>219.19270700000001</v>
      </c>
      <c r="L106" s="2"/>
      <c r="M106" s="2"/>
      <c r="N106" s="163">
        <f t="shared" si="53"/>
        <v>67.972000000000008</v>
      </c>
      <c r="O106" s="163">
        <f t="shared" si="54"/>
        <v>101.958</v>
      </c>
      <c r="P106" s="240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45" x14ac:dyDescent="0.2">
      <c r="A107" s="9" t="s">
        <v>127</v>
      </c>
      <c r="B107" s="140">
        <v>96396</v>
      </c>
      <c r="C107" s="141" t="s">
        <v>88</v>
      </c>
      <c r="D107" s="402" t="s">
        <v>960</v>
      </c>
      <c r="E107" s="142" t="s">
        <v>56</v>
      </c>
      <c r="F107" s="143">
        <v>4.5</v>
      </c>
      <c r="G107" s="27">
        <f t="shared" si="49"/>
        <v>76.364000000000004</v>
      </c>
      <c r="H107" s="27">
        <f t="shared" si="19"/>
        <v>114.54599999999999</v>
      </c>
      <c r="I107" s="142">
        <v>190.91</v>
      </c>
      <c r="J107" s="14">
        <f t="shared" si="38"/>
        <v>246.25480899999999</v>
      </c>
      <c r="K107" s="15">
        <f t="shared" si="50"/>
        <v>1108.1466404999999</v>
      </c>
      <c r="L107" s="2"/>
      <c r="M107" s="2"/>
      <c r="N107" s="16">
        <f t="shared" si="0"/>
        <v>343.63800000000003</v>
      </c>
      <c r="O107" s="16">
        <f t="shared" si="1"/>
        <v>515.45699999999999</v>
      </c>
      <c r="P107" s="240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45" x14ac:dyDescent="0.2">
      <c r="A108" s="17" t="s">
        <v>128</v>
      </c>
      <c r="B108" s="144">
        <v>92397</v>
      </c>
      <c r="C108" s="145" t="s">
        <v>124</v>
      </c>
      <c r="D108" s="420"/>
      <c r="E108" s="144" t="s">
        <v>16</v>
      </c>
      <c r="F108" s="146">
        <f>30.63+14.39</f>
        <v>45.019999999999996</v>
      </c>
      <c r="G108" s="27">
        <f t="shared" si="49"/>
        <v>25.236000000000004</v>
      </c>
      <c r="H108" s="27">
        <f t="shared" si="19"/>
        <v>37.853999999999999</v>
      </c>
      <c r="I108" s="147">
        <v>63.09</v>
      </c>
      <c r="J108" s="14">
        <f t="shared" si="38"/>
        <v>81.379791000000012</v>
      </c>
      <c r="K108" s="15">
        <f t="shared" si="50"/>
        <v>3663.71819082</v>
      </c>
      <c r="L108" s="2"/>
      <c r="M108" s="16"/>
      <c r="N108" s="16">
        <f t="shared" si="0"/>
        <v>1136.12472</v>
      </c>
      <c r="O108" s="16">
        <f t="shared" si="1"/>
        <v>1704.1870799999999</v>
      </c>
      <c r="P108" s="240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30" x14ac:dyDescent="0.2">
      <c r="A109" s="24" t="s">
        <v>129</v>
      </c>
      <c r="B109" s="152">
        <v>94263</v>
      </c>
      <c r="C109" s="153" t="s">
        <v>130</v>
      </c>
      <c r="D109" s="402" t="s">
        <v>396</v>
      </c>
      <c r="E109" s="155" t="s">
        <v>47</v>
      </c>
      <c r="F109" s="156">
        <f>5+6.95+1.5+5.1+3.4+2.2</f>
        <v>24.149999999999995</v>
      </c>
      <c r="G109" s="27">
        <f t="shared" si="49"/>
        <v>14.148</v>
      </c>
      <c r="H109" s="27">
        <f t="shared" si="19"/>
        <v>21.221999999999998</v>
      </c>
      <c r="I109" s="155">
        <v>35.369999999999997</v>
      </c>
      <c r="J109" s="14">
        <f t="shared" si="38"/>
        <v>45.623762999999997</v>
      </c>
      <c r="K109" s="15">
        <f t="shared" si="50"/>
        <v>1101.8138764499997</v>
      </c>
      <c r="L109" s="2"/>
      <c r="M109" s="16"/>
      <c r="N109" s="16">
        <f t="shared" si="0"/>
        <v>341.67419999999993</v>
      </c>
      <c r="O109" s="16">
        <f t="shared" si="1"/>
        <v>512.51129999999989</v>
      </c>
      <c r="P109" s="240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30" x14ac:dyDescent="0.2">
      <c r="A110" s="24" t="s">
        <v>395</v>
      </c>
      <c r="B110" s="152" t="s">
        <v>610</v>
      </c>
      <c r="C110" s="153" t="s">
        <v>609</v>
      </c>
      <c r="D110" s="403"/>
      <c r="E110" s="155" t="s">
        <v>47</v>
      </c>
      <c r="F110" s="156">
        <v>2</v>
      </c>
      <c r="G110" s="27">
        <f t="shared" si="49"/>
        <v>136.78200000000001</v>
      </c>
      <c r="H110" s="27">
        <f t="shared" si="19"/>
        <v>205.17299999999997</v>
      </c>
      <c r="I110" s="155">
        <f>683.91/2</f>
        <v>341.95499999999998</v>
      </c>
      <c r="J110" s="14">
        <f t="shared" si="38"/>
        <v>441.08775450000002</v>
      </c>
      <c r="K110" s="15">
        <f t="shared" si="50"/>
        <v>882.17550900000003</v>
      </c>
      <c r="L110" s="2"/>
      <c r="M110" s="2"/>
      <c r="N110" s="236">
        <f t="shared" ref="N110" si="55">G110*F110</f>
        <v>273.56400000000002</v>
      </c>
      <c r="O110" s="236">
        <f t="shared" ref="O110" si="56">H110*F110</f>
        <v>410.34599999999995</v>
      </c>
      <c r="P110" s="240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30" x14ac:dyDescent="0.2">
      <c r="A111" s="24" t="s">
        <v>131</v>
      </c>
      <c r="B111" s="152">
        <v>102513</v>
      </c>
      <c r="C111" s="153" t="s">
        <v>132</v>
      </c>
      <c r="D111" s="154" t="s">
        <v>133</v>
      </c>
      <c r="E111" s="155" t="s">
        <v>16</v>
      </c>
      <c r="F111" s="156">
        <v>1.44</v>
      </c>
      <c r="G111" s="27">
        <f t="shared" si="49"/>
        <v>18.380000000000003</v>
      </c>
      <c r="H111" s="27">
        <f t="shared" si="19"/>
        <v>27.57</v>
      </c>
      <c r="I111" s="155">
        <v>45.95</v>
      </c>
      <c r="J111" s="14">
        <f t="shared" si="38"/>
        <v>59.270905000000006</v>
      </c>
      <c r="K111" s="15">
        <f t="shared" si="50"/>
        <v>85.350103200000007</v>
      </c>
      <c r="L111" s="2"/>
      <c r="M111" s="16"/>
      <c r="N111" s="16">
        <f t="shared" si="0"/>
        <v>26.467200000000002</v>
      </c>
      <c r="O111" s="16">
        <f t="shared" si="1"/>
        <v>39.700800000000001</v>
      </c>
      <c r="P111" s="240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8.75" x14ac:dyDescent="0.2">
      <c r="A112" s="349" t="s">
        <v>134</v>
      </c>
      <c r="B112" s="346"/>
      <c r="C112" s="346"/>
      <c r="D112" s="347"/>
      <c r="E112" s="176"/>
      <c r="F112" s="177"/>
      <c r="G112" s="176"/>
      <c r="H112" s="176"/>
      <c r="I112" s="176"/>
      <c r="J112" s="176"/>
      <c r="K112" s="178">
        <f>SUM(K113:K140)</f>
        <v>25676.327215729998</v>
      </c>
      <c r="L112" s="2"/>
      <c r="M112" s="2"/>
      <c r="N112" s="16">
        <f t="shared" si="0"/>
        <v>0</v>
      </c>
      <c r="O112" s="16">
        <f t="shared" si="1"/>
        <v>0</v>
      </c>
      <c r="P112" s="240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s="158" customFormat="1" x14ac:dyDescent="0.2">
      <c r="A113" s="179" t="s">
        <v>403</v>
      </c>
      <c r="B113" s="144">
        <v>99814</v>
      </c>
      <c r="C113" s="145" t="s">
        <v>388</v>
      </c>
      <c r="D113" s="173" t="s">
        <v>389</v>
      </c>
      <c r="E113" s="147" t="s">
        <v>16</v>
      </c>
      <c r="F113" s="146">
        <f>F124+F126+F129</f>
        <v>67.38</v>
      </c>
      <c r="G113" s="27">
        <f>I113*0.8</f>
        <v>1.4640000000000002</v>
      </c>
      <c r="H113" s="27">
        <f>I113*0.2</f>
        <v>0.36600000000000005</v>
      </c>
      <c r="I113" s="147">
        <v>1.83</v>
      </c>
      <c r="J113" s="14">
        <f t="shared" si="38"/>
        <v>2.3605170000000002</v>
      </c>
      <c r="K113" s="15">
        <f t="shared" ref="K113" si="57">J113*F113</f>
        <v>159.05163546</v>
      </c>
      <c r="L113" s="2"/>
      <c r="M113" s="159"/>
      <c r="N113" s="159">
        <f t="shared" si="0"/>
        <v>98.644320000000008</v>
      </c>
      <c r="O113" s="159">
        <f t="shared" si="1"/>
        <v>24.661080000000002</v>
      </c>
      <c r="P113" s="240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45" x14ac:dyDescent="0.2">
      <c r="A114" s="17" t="s">
        <v>135</v>
      </c>
      <c r="B114" s="18">
        <v>89482</v>
      </c>
      <c r="C114" s="19" t="s">
        <v>138</v>
      </c>
      <c r="D114" s="402" t="s">
        <v>612</v>
      </c>
      <c r="E114" s="20" t="s">
        <v>31</v>
      </c>
      <c r="F114" s="39">
        <v>2</v>
      </c>
      <c r="G114" s="27">
        <f t="shared" ref="G114:G134" si="58">I114*0.4</f>
        <v>16.047999999999998</v>
      </c>
      <c r="H114" s="27">
        <f t="shared" si="19"/>
        <v>24.071999999999999</v>
      </c>
      <c r="I114" s="21">
        <v>40.119999999999997</v>
      </c>
      <c r="J114" s="14">
        <f t="shared" si="38"/>
        <v>51.750788</v>
      </c>
      <c r="K114" s="15">
        <f t="shared" ref="K114:K140" si="59">J114*F114</f>
        <v>103.501576</v>
      </c>
      <c r="L114" s="2"/>
      <c r="M114" s="16"/>
      <c r="N114" s="16">
        <f t="shared" si="0"/>
        <v>32.095999999999997</v>
      </c>
      <c r="O114" s="16">
        <f t="shared" si="1"/>
        <v>48.143999999999998</v>
      </c>
      <c r="P114" s="240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60" x14ac:dyDescent="0.2">
      <c r="A115" s="17" t="s">
        <v>137</v>
      </c>
      <c r="B115" s="48" t="s">
        <v>136</v>
      </c>
      <c r="C115" s="19" t="s">
        <v>139</v>
      </c>
      <c r="D115" s="405"/>
      <c r="E115" s="20" t="s">
        <v>47</v>
      </c>
      <c r="F115" s="39">
        <v>20</v>
      </c>
      <c r="G115" s="27">
        <f t="shared" si="58"/>
        <v>13.684000000000001</v>
      </c>
      <c r="H115" s="27">
        <f t="shared" si="19"/>
        <v>20.526</v>
      </c>
      <c r="I115" s="21">
        <f>24.21+10</f>
        <v>34.21</v>
      </c>
      <c r="J115" s="14">
        <f t="shared" si="38"/>
        <v>44.127479000000001</v>
      </c>
      <c r="K115" s="15">
        <f t="shared" si="59"/>
        <v>882.54957999999999</v>
      </c>
      <c r="L115" s="2"/>
      <c r="M115" s="16"/>
      <c r="N115" s="16">
        <f t="shared" si="0"/>
        <v>273.68</v>
      </c>
      <c r="O115" s="16">
        <f t="shared" si="1"/>
        <v>410.52</v>
      </c>
      <c r="P115" s="240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60" x14ac:dyDescent="0.2">
      <c r="A116" s="23" t="s">
        <v>140</v>
      </c>
      <c r="B116" s="44" t="s">
        <v>141</v>
      </c>
      <c r="C116" s="34" t="s">
        <v>142</v>
      </c>
      <c r="D116" s="403"/>
      <c r="E116" s="35" t="s">
        <v>47</v>
      </c>
      <c r="F116" s="40">
        <v>15</v>
      </c>
      <c r="G116" s="27">
        <f t="shared" si="58"/>
        <v>17.824000000000002</v>
      </c>
      <c r="H116" s="27">
        <f t="shared" si="19"/>
        <v>26.736000000000001</v>
      </c>
      <c r="I116" s="36">
        <f>34.56+10</f>
        <v>44.56</v>
      </c>
      <c r="J116" s="14">
        <f t="shared" si="38"/>
        <v>57.477944000000008</v>
      </c>
      <c r="K116" s="15">
        <f t="shared" si="59"/>
        <v>862.16916000000015</v>
      </c>
      <c r="L116" s="2"/>
      <c r="M116" s="16"/>
      <c r="N116" s="16">
        <f t="shared" si="0"/>
        <v>267.36</v>
      </c>
      <c r="O116" s="16">
        <f t="shared" si="1"/>
        <v>401.04</v>
      </c>
      <c r="P116" s="240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45" x14ac:dyDescent="0.2">
      <c r="A117" s="24" t="s">
        <v>143</v>
      </c>
      <c r="B117" s="25">
        <v>94995</v>
      </c>
      <c r="C117" s="26" t="s">
        <v>90</v>
      </c>
      <c r="D117" s="26" t="s">
        <v>611</v>
      </c>
      <c r="E117" s="27" t="s">
        <v>16</v>
      </c>
      <c r="F117" s="41">
        <v>3.5</v>
      </c>
      <c r="G117" s="27">
        <f t="shared" si="58"/>
        <v>36.660000000000004</v>
      </c>
      <c r="H117" s="27">
        <f t="shared" si="19"/>
        <v>54.99</v>
      </c>
      <c r="I117" s="28">
        <v>91.65</v>
      </c>
      <c r="J117" s="14">
        <f t="shared" si="38"/>
        <v>118.21933500000002</v>
      </c>
      <c r="K117" s="15">
        <f t="shared" si="59"/>
        <v>413.76767250000006</v>
      </c>
      <c r="L117" s="2"/>
      <c r="M117" s="2"/>
      <c r="N117" s="16">
        <f t="shared" si="0"/>
        <v>128.31</v>
      </c>
      <c r="O117" s="16">
        <f t="shared" si="1"/>
        <v>192.465</v>
      </c>
      <c r="P117" s="240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60" x14ac:dyDescent="0.2">
      <c r="A118" s="9" t="s">
        <v>144</v>
      </c>
      <c r="B118" s="10">
        <v>103334</v>
      </c>
      <c r="C118" s="11" t="s">
        <v>93</v>
      </c>
      <c r="D118" s="404" t="s">
        <v>145</v>
      </c>
      <c r="E118" s="13" t="s">
        <v>16</v>
      </c>
      <c r="F118" s="38">
        <v>1.3</v>
      </c>
      <c r="G118" s="27">
        <f t="shared" si="58"/>
        <v>62.5</v>
      </c>
      <c r="H118" s="27">
        <f t="shared" si="19"/>
        <v>93.75</v>
      </c>
      <c r="I118" s="14">
        <v>156.25</v>
      </c>
      <c r="J118" s="14">
        <f t="shared" si="38"/>
        <v>201.546875</v>
      </c>
      <c r="K118" s="15">
        <f t="shared" si="59"/>
        <v>262.01093750000001</v>
      </c>
      <c r="L118" s="2"/>
      <c r="M118" s="16"/>
      <c r="N118" s="16">
        <f t="shared" si="0"/>
        <v>81.25</v>
      </c>
      <c r="O118" s="16">
        <f t="shared" si="1"/>
        <v>121.875</v>
      </c>
      <c r="P118" s="240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45" x14ac:dyDescent="0.2">
      <c r="A119" s="17" t="s">
        <v>146</v>
      </c>
      <c r="B119" s="18">
        <v>87878</v>
      </c>
      <c r="C119" s="19" t="s">
        <v>94</v>
      </c>
      <c r="D119" s="413"/>
      <c r="E119" s="20" t="s">
        <v>16</v>
      </c>
      <c r="F119" s="39">
        <v>2.6</v>
      </c>
      <c r="G119" s="27">
        <f t="shared" si="58"/>
        <v>1.984</v>
      </c>
      <c r="H119" s="27">
        <f t="shared" si="19"/>
        <v>2.976</v>
      </c>
      <c r="I119" s="21">
        <v>4.96</v>
      </c>
      <c r="J119" s="14">
        <f t="shared" si="38"/>
        <v>6.3979040000000005</v>
      </c>
      <c r="K119" s="15">
        <f t="shared" si="59"/>
        <v>16.634550400000002</v>
      </c>
      <c r="L119" s="2"/>
      <c r="M119" s="16"/>
      <c r="N119" s="16">
        <f t="shared" si="0"/>
        <v>5.1584000000000003</v>
      </c>
      <c r="O119" s="16">
        <f t="shared" si="1"/>
        <v>7.7376000000000005</v>
      </c>
      <c r="P119" s="240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75" x14ac:dyDescent="0.2">
      <c r="A120" s="23" t="s">
        <v>147</v>
      </c>
      <c r="B120" s="33">
        <v>87527</v>
      </c>
      <c r="C120" s="34" t="s">
        <v>148</v>
      </c>
      <c r="D120" s="408"/>
      <c r="E120" s="35" t="s">
        <v>16</v>
      </c>
      <c r="F120" s="40">
        <v>2.6</v>
      </c>
      <c r="G120" s="27">
        <f t="shared" si="58"/>
        <v>15.863999999999999</v>
      </c>
      <c r="H120" s="27">
        <f t="shared" ref="H120:H134" si="60">I120*0.6</f>
        <v>23.795999999999996</v>
      </c>
      <c r="I120" s="36">
        <v>39.659999999999997</v>
      </c>
      <c r="J120" s="14">
        <f t="shared" si="38"/>
        <v>51.157433999999995</v>
      </c>
      <c r="K120" s="15">
        <f t="shared" si="59"/>
        <v>133.00932839999999</v>
      </c>
      <c r="L120" s="2"/>
      <c r="M120" s="16"/>
      <c r="N120" s="16">
        <f t="shared" si="0"/>
        <v>41.246400000000001</v>
      </c>
      <c r="O120" s="16">
        <f t="shared" si="1"/>
        <v>61.869599999999991</v>
      </c>
      <c r="P120" s="240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60" x14ac:dyDescent="0.2">
      <c r="A121" s="9" t="s">
        <v>149</v>
      </c>
      <c r="B121" s="43" t="s">
        <v>136</v>
      </c>
      <c r="C121" s="11" t="s">
        <v>150</v>
      </c>
      <c r="D121" s="404" t="s">
        <v>151</v>
      </c>
      <c r="E121" s="13" t="s">
        <v>47</v>
      </c>
      <c r="F121" s="38">
        <v>11.4</v>
      </c>
      <c r="G121" s="27">
        <f t="shared" si="58"/>
        <v>13.316000000000001</v>
      </c>
      <c r="H121" s="27">
        <f t="shared" si="60"/>
        <v>19.974</v>
      </c>
      <c r="I121" s="14">
        <f>23.29+10</f>
        <v>33.29</v>
      </c>
      <c r="J121" s="14">
        <f t="shared" si="38"/>
        <v>42.940770999999998</v>
      </c>
      <c r="K121" s="15">
        <f t="shared" si="59"/>
        <v>489.52478939999997</v>
      </c>
      <c r="L121" s="2"/>
      <c r="M121" s="16"/>
      <c r="N121" s="16">
        <f t="shared" si="0"/>
        <v>151.80240000000001</v>
      </c>
      <c r="O121" s="16">
        <f t="shared" si="1"/>
        <v>227.70360000000002</v>
      </c>
      <c r="P121" s="240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60" x14ac:dyDescent="0.2">
      <c r="A122" s="17" t="s">
        <v>152</v>
      </c>
      <c r="B122" s="48" t="s">
        <v>136</v>
      </c>
      <c r="C122" s="19" t="s">
        <v>153</v>
      </c>
      <c r="D122" s="413"/>
      <c r="E122" s="20" t="s">
        <v>47</v>
      </c>
      <c r="F122" s="39">
        <v>3.6</v>
      </c>
      <c r="G122" s="27">
        <f t="shared" si="58"/>
        <v>16.864000000000001</v>
      </c>
      <c r="H122" s="27">
        <f t="shared" si="60"/>
        <v>25.295999999999996</v>
      </c>
      <c r="I122" s="21">
        <f>32.16+10</f>
        <v>42.16</v>
      </c>
      <c r="J122" s="14">
        <f t="shared" si="38"/>
        <v>54.382183999999995</v>
      </c>
      <c r="K122" s="15">
        <f t="shared" si="59"/>
        <v>195.77586239999999</v>
      </c>
      <c r="L122" s="2"/>
      <c r="M122" s="16"/>
      <c r="N122" s="16">
        <f t="shared" si="0"/>
        <v>60.710400000000007</v>
      </c>
      <c r="O122" s="16">
        <f t="shared" si="1"/>
        <v>91.065599999999989</v>
      </c>
      <c r="P122" s="240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30" x14ac:dyDescent="0.2">
      <c r="A123" s="23" t="s">
        <v>152</v>
      </c>
      <c r="B123" s="33">
        <v>89351</v>
      </c>
      <c r="C123" s="34" t="s">
        <v>154</v>
      </c>
      <c r="D123" s="408"/>
      <c r="E123" s="35" t="s">
        <v>31</v>
      </c>
      <c r="F123" s="40">
        <v>1</v>
      </c>
      <c r="G123" s="27">
        <f t="shared" si="58"/>
        <v>13.02</v>
      </c>
      <c r="H123" s="27">
        <f t="shared" si="60"/>
        <v>19.529999999999998</v>
      </c>
      <c r="I123" s="36">
        <v>32.549999999999997</v>
      </c>
      <c r="J123" s="14">
        <f t="shared" si="38"/>
        <v>41.986244999999997</v>
      </c>
      <c r="K123" s="15">
        <f t="shared" si="59"/>
        <v>41.986244999999997</v>
      </c>
      <c r="L123" s="2"/>
      <c r="M123" s="16"/>
      <c r="N123" s="16">
        <f t="shared" si="0"/>
        <v>13.02</v>
      </c>
      <c r="O123" s="16">
        <f t="shared" si="1"/>
        <v>19.529999999999998</v>
      </c>
      <c r="P123" s="240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s="158" customFormat="1" ht="60" x14ac:dyDescent="0.2">
      <c r="A124" s="42" t="s">
        <v>155</v>
      </c>
      <c r="B124" s="180">
        <v>87757</v>
      </c>
      <c r="C124" s="173" t="s">
        <v>400</v>
      </c>
      <c r="D124" s="402" t="s">
        <v>412</v>
      </c>
      <c r="E124" s="150" t="s">
        <v>16</v>
      </c>
      <c r="F124" s="181">
        <v>8.69</v>
      </c>
      <c r="G124" s="27">
        <f t="shared" si="58"/>
        <v>22.524000000000001</v>
      </c>
      <c r="H124" s="27">
        <f t="shared" si="60"/>
        <v>33.786000000000001</v>
      </c>
      <c r="I124" s="182">
        <v>56.31</v>
      </c>
      <c r="J124" s="14">
        <f t="shared" si="38"/>
        <v>72.634269000000003</v>
      </c>
      <c r="K124" s="15">
        <f t="shared" si="59"/>
        <v>631.19179760999998</v>
      </c>
      <c r="L124" s="2"/>
      <c r="M124" s="159"/>
      <c r="N124" s="159">
        <f t="shared" ref="N124" si="61">G124*F124</f>
        <v>195.73355999999998</v>
      </c>
      <c r="O124" s="159">
        <f t="shared" ref="O124" si="62">H124*F124</f>
        <v>293.60034000000002</v>
      </c>
      <c r="P124" s="240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45" x14ac:dyDescent="0.2">
      <c r="A125" s="42" t="s">
        <v>399</v>
      </c>
      <c r="B125" s="183" t="s">
        <v>401</v>
      </c>
      <c r="C125" s="173" t="s">
        <v>402</v>
      </c>
      <c r="D125" s="403"/>
      <c r="E125" s="150" t="s">
        <v>16</v>
      </c>
      <c r="F125" s="181">
        <v>8.69</v>
      </c>
      <c r="G125" s="27">
        <f t="shared" si="58"/>
        <v>22.172000000000001</v>
      </c>
      <c r="H125" s="27">
        <f t="shared" si="60"/>
        <v>33.257999999999996</v>
      </c>
      <c r="I125" s="182">
        <v>55.43</v>
      </c>
      <c r="J125" s="14">
        <f t="shared" si="38"/>
        <v>71.499156999999997</v>
      </c>
      <c r="K125" s="15">
        <f t="shared" si="59"/>
        <v>621.32767432999992</v>
      </c>
      <c r="L125" s="2"/>
      <c r="M125" s="16"/>
      <c r="N125" s="16">
        <f t="shared" si="0"/>
        <v>192.67468</v>
      </c>
      <c r="O125" s="16">
        <f t="shared" si="1"/>
        <v>289.01201999999995</v>
      </c>
      <c r="P125" s="240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45" x14ac:dyDescent="0.2">
      <c r="A126" s="166" t="s">
        <v>156</v>
      </c>
      <c r="B126" s="152" t="s">
        <v>621</v>
      </c>
      <c r="C126" s="153" t="s">
        <v>622</v>
      </c>
      <c r="D126" s="153" t="s">
        <v>623</v>
      </c>
      <c r="E126" s="155" t="s">
        <v>16</v>
      </c>
      <c r="F126" s="156">
        <v>50</v>
      </c>
      <c r="G126" s="27">
        <f t="shared" si="58"/>
        <v>30.552</v>
      </c>
      <c r="H126" s="27">
        <f t="shared" si="60"/>
        <v>45.827999999999996</v>
      </c>
      <c r="I126" s="155">
        <v>76.38</v>
      </c>
      <c r="J126" s="14">
        <f t="shared" si="38"/>
        <v>98.522561999999994</v>
      </c>
      <c r="K126" s="15">
        <f t="shared" si="59"/>
        <v>4926.1280999999999</v>
      </c>
      <c r="L126" s="2"/>
      <c r="M126" s="16"/>
      <c r="N126" s="16">
        <f t="shared" si="0"/>
        <v>1527.6</v>
      </c>
      <c r="O126" s="16">
        <f t="shared" si="1"/>
        <v>2291.3999999999996</v>
      </c>
      <c r="P126" s="240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45" x14ac:dyDescent="0.2">
      <c r="A127" s="24" t="s">
        <v>157</v>
      </c>
      <c r="B127" s="25">
        <v>91341</v>
      </c>
      <c r="C127" s="26" t="s">
        <v>158</v>
      </c>
      <c r="D127" s="26" t="s">
        <v>159</v>
      </c>
      <c r="E127" s="27" t="s">
        <v>16</v>
      </c>
      <c r="F127" s="41">
        <v>3.8</v>
      </c>
      <c r="G127" s="27">
        <f>I127*0.2</f>
        <v>184.11400000000003</v>
      </c>
      <c r="H127" s="27">
        <f>I127*0.8</f>
        <v>736.45600000000013</v>
      </c>
      <c r="I127" s="28">
        <v>920.57</v>
      </c>
      <c r="J127" s="14">
        <f t="shared" si="38"/>
        <v>1187.4432430000002</v>
      </c>
      <c r="K127" s="15">
        <f t="shared" si="59"/>
        <v>4512.2843234000002</v>
      </c>
      <c r="L127" s="2"/>
      <c r="M127" s="16"/>
      <c r="N127" s="16">
        <f t="shared" si="0"/>
        <v>699.6332000000001</v>
      </c>
      <c r="O127" s="16">
        <f t="shared" si="1"/>
        <v>2798.5328000000004</v>
      </c>
      <c r="P127" s="240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30" x14ac:dyDescent="0.2">
      <c r="A128" s="24" t="s">
        <v>160</v>
      </c>
      <c r="B128" s="25" t="s">
        <v>1203</v>
      </c>
      <c r="C128" s="26" t="s">
        <v>1204</v>
      </c>
      <c r="D128" s="26" t="s">
        <v>161</v>
      </c>
      <c r="E128" s="27" t="s">
        <v>16</v>
      </c>
      <c r="F128" s="41">
        <v>0.36</v>
      </c>
      <c r="G128" s="27">
        <f>I128*0.2</f>
        <v>54.146000000000008</v>
      </c>
      <c r="H128" s="27">
        <f>I128*0.8</f>
        <v>216.58400000000003</v>
      </c>
      <c r="I128" s="28">
        <v>270.73</v>
      </c>
      <c r="J128" s="14">
        <f t="shared" si="38"/>
        <v>349.21462700000006</v>
      </c>
      <c r="K128" s="15">
        <f t="shared" si="59"/>
        <v>125.71726572000001</v>
      </c>
      <c r="L128" s="2"/>
      <c r="M128" s="16"/>
      <c r="N128" s="16">
        <f t="shared" si="0"/>
        <v>19.492560000000001</v>
      </c>
      <c r="O128" s="16">
        <f t="shared" si="1"/>
        <v>77.970240000000004</v>
      </c>
      <c r="P128" s="240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45" x14ac:dyDescent="0.2">
      <c r="A129" s="17" t="s">
        <v>162</v>
      </c>
      <c r="B129" s="18">
        <v>100734</v>
      </c>
      <c r="C129" s="19" t="s">
        <v>104</v>
      </c>
      <c r="D129" s="410" t="s">
        <v>163</v>
      </c>
      <c r="E129" s="20" t="s">
        <v>16</v>
      </c>
      <c r="F129" s="39">
        <v>8.69</v>
      </c>
      <c r="G129" s="27">
        <f t="shared" si="58"/>
        <v>6.04</v>
      </c>
      <c r="H129" s="27">
        <f t="shared" si="60"/>
        <v>9.0599999999999987</v>
      </c>
      <c r="I129" s="21">
        <v>15.1</v>
      </c>
      <c r="J129" s="14">
        <f t="shared" si="38"/>
        <v>19.47749</v>
      </c>
      <c r="K129" s="15">
        <f t="shared" si="59"/>
        <v>169.2593881</v>
      </c>
      <c r="L129" s="2"/>
      <c r="M129" s="2"/>
      <c r="N129" s="16">
        <f t="shared" si="0"/>
        <v>52.4876</v>
      </c>
      <c r="O129" s="16">
        <f t="shared" si="1"/>
        <v>78.731399999999979</v>
      </c>
      <c r="P129" s="240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45" x14ac:dyDescent="0.2">
      <c r="A130" s="23" t="s">
        <v>164</v>
      </c>
      <c r="B130" s="33">
        <v>100754</v>
      </c>
      <c r="C130" s="34" t="s">
        <v>106</v>
      </c>
      <c r="D130" s="408"/>
      <c r="E130" s="35" t="s">
        <v>16</v>
      </c>
      <c r="F130" s="40">
        <v>8.69</v>
      </c>
      <c r="G130" s="27">
        <f t="shared" si="58"/>
        <v>11.804000000000002</v>
      </c>
      <c r="H130" s="27">
        <f t="shared" si="60"/>
        <v>17.706</v>
      </c>
      <c r="I130" s="36">
        <v>29.51</v>
      </c>
      <c r="J130" s="14">
        <f t="shared" si="38"/>
        <v>38.064949000000006</v>
      </c>
      <c r="K130" s="15">
        <f t="shared" si="59"/>
        <v>330.78440681000001</v>
      </c>
      <c r="L130" s="2"/>
      <c r="M130" s="2"/>
      <c r="N130" s="16">
        <f t="shared" si="0"/>
        <v>102.57676000000001</v>
      </c>
      <c r="O130" s="16">
        <f t="shared" si="1"/>
        <v>153.86514</v>
      </c>
      <c r="P130" s="240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60" x14ac:dyDescent="0.2">
      <c r="A131" s="184" t="s">
        <v>165</v>
      </c>
      <c r="B131" s="140">
        <v>95472</v>
      </c>
      <c r="C131" s="141" t="s">
        <v>558</v>
      </c>
      <c r="D131" s="412" t="s">
        <v>166</v>
      </c>
      <c r="E131" s="13" t="s">
        <v>31</v>
      </c>
      <c r="F131" s="38">
        <v>1</v>
      </c>
      <c r="G131" s="27">
        <f>I131*0.2</f>
        <v>149.202</v>
      </c>
      <c r="H131" s="27">
        <f>I131*0.8</f>
        <v>596.80799999999999</v>
      </c>
      <c r="I131" s="14">
        <v>746.01</v>
      </c>
      <c r="J131" s="14">
        <f t="shared" si="38"/>
        <v>962.27829900000006</v>
      </c>
      <c r="K131" s="15">
        <f t="shared" si="59"/>
        <v>962.27829900000006</v>
      </c>
      <c r="L131" s="2"/>
      <c r="M131" s="16"/>
      <c r="N131" s="16">
        <f t="shared" si="0"/>
        <v>149.202</v>
      </c>
      <c r="O131" s="16">
        <f t="shared" si="1"/>
        <v>596.80799999999999</v>
      </c>
      <c r="P131" s="240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30" x14ac:dyDescent="0.2">
      <c r="A132" s="17" t="s">
        <v>167</v>
      </c>
      <c r="B132" s="18">
        <v>100849</v>
      </c>
      <c r="C132" s="19" t="s">
        <v>168</v>
      </c>
      <c r="D132" s="413"/>
      <c r="E132" s="20" t="s">
        <v>31</v>
      </c>
      <c r="F132" s="39">
        <v>1</v>
      </c>
      <c r="G132" s="27">
        <f>I132*0.2</f>
        <v>9.0400000000000009</v>
      </c>
      <c r="H132" s="27">
        <f>I132*0.8</f>
        <v>36.160000000000004</v>
      </c>
      <c r="I132" s="21">
        <v>45.2</v>
      </c>
      <c r="J132" s="14">
        <f t="shared" si="38"/>
        <v>58.303480000000008</v>
      </c>
      <c r="K132" s="15">
        <f t="shared" si="59"/>
        <v>58.303480000000008</v>
      </c>
      <c r="L132" s="2"/>
      <c r="M132" s="16"/>
      <c r="N132" s="16">
        <f t="shared" si="0"/>
        <v>9.0400000000000009</v>
      </c>
      <c r="O132" s="16">
        <f t="shared" si="1"/>
        <v>36.160000000000004</v>
      </c>
      <c r="P132" s="240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75" x14ac:dyDescent="0.2">
      <c r="A133" s="17" t="s">
        <v>169</v>
      </c>
      <c r="B133" s="18">
        <v>93396</v>
      </c>
      <c r="C133" s="19" t="s">
        <v>975</v>
      </c>
      <c r="D133" s="413"/>
      <c r="E133" s="20" t="s">
        <v>31</v>
      </c>
      <c r="F133" s="39">
        <v>2</v>
      </c>
      <c r="G133" s="27">
        <f>I133*0.2</f>
        <v>137.57400000000001</v>
      </c>
      <c r="H133" s="27">
        <f>I133*0.8</f>
        <v>550.29600000000005</v>
      </c>
      <c r="I133" s="21">
        <v>687.87</v>
      </c>
      <c r="J133" s="14">
        <f t="shared" si="38"/>
        <v>887.28351300000008</v>
      </c>
      <c r="K133" s="15">
        <f t="shared" si="59"/>
        <v>1774.5670260000002</v>
      </c>
      <c r="L133" s="2"/>
      <c r="M133" s="16"/>
      <c r="N133" s="16">
        <f t="shared" si="0"/>
        <v>275.14800000000002</v>
      </c>
      <c r="O133" s="16">
        <f t="shared" si="1"/>
        <v>1100.5920000000001</v>
      </c>
      <c r="P133" s="240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s="246" customFormat="1" x14ac:dyDescent="0.2">
      <c r="A134" s="184" t="s">
        <v>170</v>
      </c>
      <c r="B134" s="18" t="s">
        <v>973</v>
      </c>
      <c r="C134" s="19" t="s">
        <v>974</v>
      </c>
      <c r="D134" s="413"/>
      <c r="E134" s="20" t="s">
        <v>16</v>
      </c>
      <c r="F134" s="39">
        <v>0.7</v>
      </c>
      <c r="G134" s="27">
        <f t="shared" si="58"/>
        <v>143.33199999999999</v>
      </c>
      <c r="H134" s="27">
        <f t="shared" si="60"/>
        <v>214.99799999999999</v>
      </c>
      <c r="I134" s="21">
        <v>358.33</v>
      </c>
      <c r="J134" s="14">
        <f t="shared" si="38"/>
        <v>462.20986699999997</v>
      </c>
      <c r="K134" s="15">
        <f t="shared" si="59"/>
        <v>323.54690689999995</v>
      </c>
      <c r="L134" s="2"/>
      <c r="M134" s="247"/>
      <c r="N134" s="247">
        <f t="shared" ref="N134" si="63">G134*F134</f>
        <v>100.33239999999999</v>
      </c>
      <c r="O134" s="247">
        <f t="shared" ref="O134" si="64">H134*F134</f>
        <v>150.49859999999998</v>
      </c>
      <c r="P134" s="240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30" x14ac:dyDescent="0.2">
      <c r="A135" s="17" t="s">
        <v>172</v>
      </c>
      <c r="B135" s="18">
        <v>102255</v>
      </c>
      <c r="C135" s="19" t="s">
        <v>171</v>
      </c>
      <c r="D135" s="413"/>
      <c r="E135" s="20" t="s">
        <v>16</v>
      </c>
      <c r="F135" s="39">
        <v>1.8</v>
      </c>
      <c r="G135" s="27">
        <f t="shared" ref="G135:G140" si="65">I135*0.2</f>
        <v>183.47800000000001</v>
      </c>
      <c r="H135" s="27">
        <f t="shared" ref="H135:H140" si="66">I135*0.8</f>
        <v>733.91200000000003</v>
      </c>
      <c r="I135" s="21">
        <v>917.39</v>
      </c>
      <c r="J135" s="14">
        <f t="shared" si="38"/>
        <v>1183.341361</v>
      </c>
      <c r="K135" s="15">
        <f t="shared" si="59"/>
        <v>2130.0144498</v>
      </c>
      <c r="L135" s="2"/>
      <c r="M135" s="16"/>
      <c r="N135" s="16">
        <f t="shared" si="0"/>
        <v>330.2604</v>
      </c>
      <c r="O135" s="16">
        <f t="shared" si="1"/>
        <v>1321.0416</v>
      </c>
      <c r="P135" s="240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30" x14ac:dyDescent="0.2">
      <c r="A136" s="17" t="s">
        <v>174</v>
      </c>
      <c r="B136" s="18">
        <v>100858</v>
      </c>
      <c r="C136" s="19" t="s">
        <v>173</v>
      </c>
      <c r="D136" s="413"/>
      <c r="E136" s="20" t="s">
        <v>31</v>
      </c>
      <c r="F136" s="39">
        <v>2</v>
      </c>
      <c r="G136" s="27">
        <f t="shared" si="65"/>
        <v>131.096</v>
      </c>
      <c r="H136" s="27">
        <f t="shared" si="66"/>
        <v>524.38400000000001</v>
      </c>
      <c r="I136" s="21">
        <v>655.48</v>
      </c>
      <c r="J136" s="14">
        <f t="shared" si="38"/>
        <v>845.5036520000001</v>
      </c>
      <c r="K136" s="15">
        <f t="shared" si="59"/>
        <v>1691.0073040000002</v>
      </c>
      <c r="L136" s="2"/>
      <c r="M136" s="16"/>
      <c r="N136" s="16">
        <f t="shared" si="0"/>
        <v>262.19200000000001</v>
      </c>
      <c r="O136" s="16">
        <f t="shared" si="1"/>
        <v>1048.768</v>
      </c>
      <c r="P136" s="240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30" x14ac:dyDescent="0.2">
      <c r="A137" s="184" t="s">
        <v>176</v>
      </c>
      <c r="B137" s="18">
        <v>100868</v>
      </c>
      <c r="C137" s="19" t="s">
        <v>175</v>
      </c>
      <c r="D137" s="413"/>
      <c r="E137" s="20" t="s">
        <v>31</v>
      </c>
      <c r="F137" s="39">
        <v>2</v>
      </c>
      <c r="G137" s="27">
        <f t="shared" si="65"/>
        <v>77.022000000000006</v>
      </c>
      <c r="H137" s="27">
        <f t="shared" si="66"/>
        <v>308.08800000000002</v>
      </c>
      <c r="I137" s="21">
        <v>385.11</v>
      </c>
      <c r="J137" s="14">
        <f t="shared" si="38"/>
        <v>496.75338900000003</v>
      </c>
      <c r="K137" s="15">
        <f t="shared" si="59"/>
        <v>993.50677800000005</v>
      </c>
      <c r="L137" s="2"/>
      <c r="M137" s="16"/>
      <c r="N137" s="16">
        <f t="shared" si="0"/>
        <v>154.04400000000001</v>
      </c>
      <c r="O137" s="16">
        <f t="shared" si="1"/>
        <v>616.17600000000004</v>
      </c>
      <c r="P137" s="240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30" x14ac:dyDescent="0.2">
      <c r="A138" s="17" t="s">
        <v>178</v>
      </c>
      <c r="B138" s="18">
        <v>100867</v>
      </c>
      <c r="C138" s="19" t="s">
        <v>177</v>
      </c>
      <c r="D138" s="413"/>
      <c r="E138" s="20" t="s">
        <v>31</v>
      </c>
      <c r="F138" s="39">
        <v>1</v>
      </c>
      <c r="G138" s="27">
        <f t="shared" si="65"/>
        <v>74.400000000000006</v>
      </c>
      <c r="H138" s="27">
        <f t="shared" si="66"/>
        <v>297.60000000000002</v>
      </c>
      <c r="I138" s="21">
        <v>372</v>
      </c>
      <c r="J138" s="14">
        <f t="shared" si="38"/>
        <v>479.84280000000001</v>
      </c>
      <c r="K138" s="15">
        <f t="shared" si="59"/>
        <v>479.84280000000001</v>
      </c>
      <c r="L138" s="2"/>
      <c r="M138" s="16"/>
      <c r="N138" s="16">
        <f t="shared" si="0"/>
        <v>74.400000000000006</v>
      </c>
      <c r="O138" s="16">
        <f t="shared" si="1"/>
        <v>297.60000000000002</v>
      </c>
      <c r="P138" s="240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30" x14ac:dyDescent="0.2">
      <c r="A139" s="17" t="s">
        <v>180</v>
      </c>
      <c r="B139" s="18">
        <v>100866</v>
      </c>
      <c r="C139" s="19" t="s">
        <v>179</v>
      </c>
      <c r="D139" s="413"/>
      <c r="E139" s="20" t="s">
        <v>31</v>
      </c>
      <c r="F139" s="39">
        <v>4</v>
      </c>
      <c r="G139" s="27">
        <f t="shared" si="65"/>
        <v>70.462000000000003</v>
      </c>
      <c r="H139" s="27">
        <f t="shared" si="66"/>
        <v>281.84800000000001</v>
      </c>
      <c r="I139" s="21">
        <v>352.31</v>
      </c>
      <c r="J139" s="14">
        <f t="shared" si="38"/>
        <v>454.44466900000003</v>
      </c>
      <c r="K139" s="15">
        <f t="shared" si="59"/>
        <v>1817.7786760000001</v>
      </c>
      <c r="L139" s="2"/>
      <c r="M139" s="16"/>
      <c r="N139" s="16">
        <f t="shared" si="0"/>
        <v>281.84800000000001</v>
      </c>
      <c r="O139" s="16">
        <f t="shared" si="1"/>
        <v>1127.3920000000001</v>
      </c>
      <c r="P139" s="240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75" x14ac:dyDescent="0.2">
      <c r="A140" s="184" t="s">
        <v>972</v>
      </c>
      <c r="B140" s="44" t="s">
        <v>181</v>
      </c>
      <c r="C140" s="34" t="s">
        <v>182</v>
      </c>
      <c r="D140" s="408"/>
      <c r="E140" s="35" t="s">
        <v>31</v>
      </c>
      <c r="F140" s="40">
        <v>1</v>
      </c>
      <c r="G140" s="27">
        <f t="shared" si="65"/>
        <v>88.194000000000017</v>
      </c>
      <c r="H140" s="27">
        <f t="shared" si="66"/>
        <v>352.77600000000007</v>
      </c>
      <c r="I140" s="36">
        <v>440.97</v>
      </c>
      <c r="J140" s="14">
        <f t="shared" si="38"/>
        <v>568.80720300000007</v>
      </c>
      <c r="K140" s="15">
        <f t="shared" si="59"/>
        <v>568.80720300000007</v>
      </c>
      <c r="L140" s="2"/>
      <c r="M140" s="16"/>
      <c r="N140" s="16">
        <f t="shared" si="0"/>
        <v>88.194000000000017</v>
      </c>
      <c r="O140" s="16">
        <f t="shared" si="1"/>
        <v>352.77600000000007</v>
      </c>
      <c r="P140" s="240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8.75" x14ac:dyDescent="0.2">
      <c r="A141" s="349" t="s">
        <v>183</v>
      </c>
      <c r="B141" s="346"/>
      <c r="C141" s="346"/>
      <c r="D141" s="347"/>
      <c r="E141" s="7"/>
      <c r="F141" s="47"/>
      <c r="G141" s="7"/>
      <c r="H141" s="7"/>
      <c r="I141" s="37"/>
      <c r="J141" s="37"/>
      <c r="K141" s="8">
        <f>SUM(K142:K166)</f>
        <v>12200.006543740001</v>
      </c>
      <c r="L141" s="2"/>
      <c r="M141" s="2"/>
      <c r="N141" s="16">
        <f t="shared" si="0"/>
        <v>0</v>
      </c>
      <c r="O141" s="16">
        <f t="shared" si="1"/>
        <v>0</v>
      </c>
      <c r="P141" s="240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s="158" customFormat="1" x14ac:dyDescent="0.2">
      <c r="A142" s="179" t="s">
        <v>404</v>
      </c>
      <c r="B142" s="144">
        <v>99814</v>
      </c>
      <c r="C142" s="145" t="s">
        <v>388</v>
      </c>
      <c r="D142" s="173" t="s">
        <v>389</v>
      </c>
      <c r="E142" s="147" t="s">
        <v>16</v>
      </c>
      <c r="F142" s="146">
        <f>F152+F154+F158</f>
        <v>27.12</v>
      </c>
      <c r="G142" s="27">
        <f>I142*0.8</f>
        <v>1.4640000000000002</v>
      </c>
      <c r="H142" s="27">
        <f>I142*0.2</f>
        <v>0.36600000000000005</v>
      </c>
      <c r="I142" s="147">
        <v>1.83</v>
      </c>
      <c r="J142" s="14">
        <f t="shared" si="38"/>
        <v>2.3605170000000002</v>
      </c>
      <c r="K142" s="15">
        <f t="shared" ref="K142" si="67">J142*F142</f>
        <v>64.01722104000001</v>
      </c>
      <c r="L142" s="2"/>
      <c r="M142" s="159"/>
      <c r="N142" s="159">
        <f t="shared" ref="N142" si="68">G142*F142</f>
        <v>39.703680000000006</v>
      </c>
      <c r="O142" s="159">
        <f t="shared" ref="O142" si="69">H142*F142</f>
        <v>9.9259200000000014</v>
      </c>
      <c r="P142" s="240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45" x14ac:dyDescent="0.2">
      <c r="A143" s="17" t="s">
        <v>184</v>
      </c>
      <c r="B143" s="18">
        <v>89482</v>
      </c>
      <c r="C143" s="19" t="s">
        <v>138</v>
      </c>
      <c r="D143" s="402" t="s">
        <v>612</v>
      </c>
      <c r="E143" s="20" t="s">
        <v>31</v>
      </c>
      <c r="F143" s="39">
        <v>1</v>
      </c>
      <c r="G143" s="27">
        <f t="shared" ref="G143:G159" si="70">I143*0.4</f>
        <v>16.047999999999998</v>
      </c>
      <c r="H143" s="27">
        <f t="shared" ref="H143:H159" si="71">I143*0.6</f>
        <v>24.071999999999999</v>
      </c>
      <c r="I143" s="21">
        <v>40.119999999999997</v>
      </c>
      <c r="J143" s="14">
        <f t="shared" si="38"/>
        <v>51.750788</v>
      </c>
      <c r="K143" s="15">
        <f t="shared" ref="K143:K166" si="72">J143*F143</f>
        <v>51.750788</v>
      </c>
      <c r="L143" s="2"/>
      <c r="M143" s="16"/>
      <c r="N143" s="16">
        <f t="shared" si="0"/>
        <v>16.047999999999998</v>
      </c>
      <c r="O143" s="16">
        <f t="shared" si="1"/>
        <v>24.071999999999999</v>
      </c>
      <c r="P143" s="240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60" x14ac:dyDescent="0.2">
      <c r="A144" s="17" t="s">
        <v>185</v>
      </c>
      <c r="B144" s="48" t="s">
        <v>136</v>
      </c>
      <c r="C144" s="19" t="s">
        <v>139</v>
      </c>
      <c r="D144" s="405"/>
      <c r="E144" s="20" t="s">
        <v>47</v>
      </c>
      <c r="F144" s="39">
        <v>7</v>
      </c>
      <c r="G144" s="27">
        <f t="shared" si="70"/>
        <v>13.684000000000001</v>
      </c>
      <c r="H144" s="27">
        <f t="shared" si="71"/>
        <v>20.526</v>
      </c>
      <c r="I144" s="21">
        <f>24.21+10</f>
        <v>34.21</v>
      </c>
      <c r="J144" s="14">
        <f t="shared" si="38"/>
        <v>44.127479000000001</v>
      </c>
      <c r="K144" s="15">
        <f t="shared" si="72"/>
        <v>308.89235300000001</v>
      </c>
      <c r="L144" s="2"/>
      <c r="M144" s="16"/>
      <c r="N144" s="16">
        <f t="shared" si="0"/>
        <v>95.788000000000011</v>
      </c>
      <c r="O144" s="16">
        <f t="shared" si="1"/>
        <v>143.68199999999999</v>
      </c>
      <c r="P144" s="240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60" x14ac:dyDescent="0.2">
      <c r="A145" s="23" t="s">
        <v>186</v>
      </c>
      <c r="B145" s="43" t="s">
        <v>136</v>
      </c>
      <c r="C145" s="34" t="s">
        <v>142</v>
      </c>
      <c r="D145" s="403"/>
      <c r="E145" s="35" t="s">
        <v>47</v>
      </c>
      <c r="F145" s="40">
        <v>3.5</v>
      </c>
      <c r="G145" s="27">
        <f t="shared" si="70"/>
        <v>17.824000000000002</v>
      </c>
      <c r="H145" s="27">
        <f t="shared" si="71"/>
        <v>26.736000000000001</v>
      </c>
      <c r="I145" s="36">
        <f>34.56+10</f>
        <v>44.56</v>
      </c>
      <c r="J145" s="14">
        <f t="shared" si="38"/>
        <v>57.477944000000008</v>
      </c>
      <c r="K145" s="15">
        <f t="shared" si="72"/>
        <v>201.17280400000004</v>
      </c>
      <c r="L145" s="2"/>
      <c r="M145" s="16"/>
      <c r="N145" s="16">
        <f t="shared" si="0"/>
        <v>62.384000000000007</v>
      </c>
      <c r="O145" s="16">
        <f t="shared" si="1"/>
        <v>93.576000000000008</v>
      </c>
      <c r="P145" s="240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45" x14ac:dyDescent="0.2">
      <c r="A146" s="24" t="s">
        <v>187</v>
      </c>
      <c r="B146" s="25">
        <v>94995</v>
      </c>
      <c r="C146" s="26" t="s">
        <v>90</v>
      </c>
      <c r="D146" s="26" t="s">
        <v>611</v>
      </c>
      <c r="E146" s="27" t="s">
        <v>16</v>
      </c>
      <c r="F146" s="41">
        <v>1.75</v>
      </c>
      <c r="G146" s="27">
        <f t="shared" si="70"/>
        <v>36.660000000000004</v>
      </c>
      <c r="H146" s="27">
        <f t="shared" si="71"/>
        <v>54.99</v>
      </c>
      <c r="I146" s="28">
        <v>91.65</v>
      </c>
      <c r="J146" s="14">
        <f t="shared" si="38"/>
        <v>118.21933500000002</v>
      </c>
      <c r="K146" s="15">
        <f t="shared" si="72"/>
        <v>206.88383625000003</v>
      </c>
      <c r="L146" s="2"/>
      <c r="M146" s="2"/>
      <c r="N146" s="16">
        <f t="shared" si="0"/>
        <v>64.155000000000001</v>
      </c>
      <c r="O146" s="16">
        <f t="shared" si="1"/>
        <v>96.232500000000002</v>
      </c>
      <c r="P146" s="240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60" x14ac:dyDescent="0.2">
      <c r="A147" s="9" t="s">
        <v>188</v>
      </c>
      <c r="B147" s="10">
        <v>103334</v>
      </c>
      <c r="C147" s="11" t="s">
        <v>93</v>
      </c>
      <c r="D147" s="404" t="s">
        <v>145</v>
      </c>
      <c r="E147" s="13" t="s">
        <v>16</v>
      </c>
      <c r="F147" s="38">
        <v>2.75</v>
      </c>
      <c r="G147" s="27">
        <f t="shared" si="70"/>
        <v>62.5</v>
      </c>
      <c r="H147" s="27">
        <f t="shared" si="71"/>
        <v>93.75</v>
      </c>
      <c r="I147" s="14">
        <v>156.25</v>
      </c>
      <c r="J147" s="14">
        <f t="shared" si="38"/>
        <v>201.546875</v>
      </c>
      <c r="K147" s="15">
        <f t="shared" si="72"/>
        <v>554.25390625</v>
      </c>
      <c r="L147" s="2"/>
      <c r="M147" s="16"/>
      <c r="N147" s="16">
        <f t="shared" si="0"/>
        <v>171.875</v>
      </c>
      <c r="O147" s="16">
        <f t="shared" si="1"/>
        <v>257.8125</v>
      </c>
      <c r="P147" s="240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45" x14ac:dyDescent="0.2">
      <c r="A148" s="17" t="s">
        <v>189</v>
      </c>
      <c r="B148" s="18">
        <v>87878</v>
      </c>
      <c r="C148" s="19" t="s">
        <v>94</v>
      </c>
      <c r="D148" s="413"/>
      <c r="E148" s="20" t="s">
        <v>16</v>
      </c>
      <c r="F148" s="39">
        <v>5.5</v>
      </c>
      <c r="G148" s="27">
        <f t="shared" si="70"/>
        <v>1.984</v>
      </c>
      <c r="H148" s="27">
        <f t="shared" si="71"/>
        <v>2.976</v>
      </c>
      <c r="I148" s="21">
        <v>4.96</v>
      </c>
      <c r="J148" s="14">
        <f t="shared" si="38"/>
        <v>6.3979040000000005</v>
      </c>
      <c r="K148" s="15">
        <f t="shared" si="72"/>
        <v>35.188472000000004</v>
      </c>
      <c r="L148" s="2"/>
      <c r="M148" s="16"/>
      <c r="N148" s="16">
        <f t="shared" si="0"/>
        <v>10.911999999999999</v>
      </c>
      <c r="O148" s="16">
        <f t="shared" si="1"/>
        <v>16.367999999999999</v>
      </c>
      <c r="P148" s="240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75" x14ac:dyDescent="0.2">
      <c r="A149" s="23" t="s">
        <v>190</v>
      </c>
      <c r="B149" s="33">
        <v>87527</v>
      </c>
      <c r="C149" s="34" t="s">
        <v>148</v>
      </c>
      <c r="D149" s="408"/>
      <c r="E149" s="35" t="s">
        <v>16</v>
      </c>
      <c r="F149" s="40">
        <v>5.5</v>
      </c>
      <c r="G149" s="27">
        <f t="shared" si="70"/>
        <v>15.863999999999999</v>
      </c>
      <c r="H149" s="27">
        <f t="shared" si="71"/>
        <v>23.795999999999996</v>
      </c>
      <c r="I149" s="36">
        <v>39.659999999999997</v>
      </c>
      <c r="J149" s="14">
        <f t="shared" si="38"/>
        <v>51.157433999999995</v>
      </c>
      <c r="K149" s="15">
        <f t="shared" si="72"/>
        <v>281.36588699999999</v>
      </c>
      <c r="L149" s="2"/>
      <c r="M149" s="16"/>
      <c r="N149" s="16">
        <f t="shared" si="0"/>
        <v>87.251999999999995</v>
      </c>
      <c r="O149" s="16">
        <f t="shared" si="1"/>
        <v>130.87799999999999</v>
      </c>
      <c r="P149" s="240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60" x14ac:dyDescent="0.2">
      <c r="A150" s="51" t="s">
        <v>191</v>
      </c>
      <c r="B150" s="52" t="s">
        <v>136</v>
      </c>
      <c r="C150" s="12" t="s">
        <v>150</v>
      </c>
      <c r="D150" s="404" t="s">
        <v>192</v>
      </c>
      <c r="E150" s="50" t="s">
        <v>47</v>
      </c>
      <c r="F150" s="53">
        <v>5.2</v>
      </c>
      <c r="G150" s="27">
        <f t="shared" si="70"/>
        <v>13.316000000000001</v>
      </c>
      <c r="H150" s="27">
        <f t="shared" si="71"/>
        <v>19.974</v>
      </c>
      <c r="I150" s="14">
        <f>23.29+10</f>
        <v>33.29</v>
      </c>
      <c r="J150" s="14">
        <f t="shared" ref="J150:J213" si="73">I150*(1+$K$11)</f>
        <v>42.940770999999998</v>
      </c>
      <c r="K150" s="15">
        <f t="shared" si="72"/>
        <v>223.2920092</v>
      </c>
      <c r="L150" s="2"/>
      <c r="M150" s="16"/>
      <c r="N150" s="16">
        <f t="shared" si="0"/>
        <v>69.243200000000002</v>
      </c>
      <c r="O150" s="16">
        <f t="shared" si="1"/>
        <v>103.8648</v>
      </c>
      <c r="P150" s="240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30" x14ac:dyDescent="0.2">
      <c r="A151" s="23" t="s">
        <v>193</v>
      </c>
      <c r="B151" s="33">
        <v>89351</v>
      </c>
      <c r="C151" s="34" t="s">
        <v>154</v>
      </c>
      <c r="D151" s="408"/>
      <c r="E151" s="35" t="s">
        <v>31</v>
      </c>
      <c r="F151" s="40">
        <v>1</v>
      </c>
      <c r="G151" s="27">
        <f t="shared" si="70"/>
        <v>13.02</v>
      </c>
      <c r="H151" s="27">
        <f t="shared" si="71"/>
        <v>19.529999999999998</v>
      </c>
      <c r="I151" s="36">
        <v>32.549999999999997</v>
      </c>
      <c r="J151" s="14">
        <f t="shared" si="73"/>
        <v>41.986244999999997</v>
      </c>
      <c r="K151" s="15">
        <f t="shared" si="72"/>
        <v>41.986244999999997</v>
      </c>
      <c r="L151" s="2"/>
      <c r="M151" s="16"/>
      <c r="N151" s="16">
        <f t="shared" si="0"/>
        <v>13.02</v>
      </c>
      <c r="O151" s="16">
        <f t="shared" si="1"/>
        <v>19.529999999999998</v>
      </c>
      <c r="P151" s="240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s="158" customFormat="1" ht="60" x14ac:dyDescent="0.2">
      <c r="A152" s="42" t="s">
        <v>194</v>
      </c>
      <c r="B152" s="180">
        <v>87757</v>
      </c>
      <c r="C152" s="173" t="s">
        <v>400</v>
      </c>
      <c r="D152" s="402" t="s">
        <v>412</v>
      </c>
      <c r="E152" s="150" t="s">
        <v>16</v>
      </c>
      <c r="F152" s="181">
        <v>2.96</v>
      </c>
      <c r="G152" s="27">
        <f t="shared" si="70"/>
        <v>22.524000000000001</v>
      </c>
      <c r="H152" s="27">
        <f t="shared" si="71"/>
        <v>33.786000000000001</v>
      </c>
      <c r="I152" s="182">
        <v>56.31</v>
      </c>
      <c r="J152" s="14">
        <f t="shared" si="73"/>
        <v>72.634269000000003</v>
      </c>
      <c r="K152" s="15">
        <f t="shared" si="72"/>
        <v>214.99743624000001</v>
      </c>
      <c r="L152" s="2"/>
      <c r="M152" s="159"/>
      <c r="N152" s="159">
        <f t="shared" si="0"/>
        <v>66.671040000000005</v>
      </c>
      <c r="O152" s="159">
        <f t="shared" si="1"/>
        <v>100.00656000000001</v>
      </c>
      <c r="P152" s="240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s="158" customFormat="1" ht="45" x14ac:dyDescent="0.2">
      <c r="A153" s="42" t="s">
        <v>410</v>
      </c>
      <c r="B153" s="183" t="s">
        <v>401</v>
      </c>
      <c r="C153" s="173" t="s">
        <v>402</v>
      </c>
      <c r="D153" s="403"/>
      <c r="E153" s="150" t="s">
        <v>16</v>
      </c>
      <c r="F153" s="181">
        <v>2.96</v>
      </c>
      <c r="G153" s="27">
        <f t="shared" si="70"/>
        <v>22.172000000000001</v>
      </c>
      <c r="H153" s="27">
        <f t="shared" si="71"/>
        <v>33.257999999999996</v>
      </c>
      <c r="I153" s="182">
        <v>55.43</v>
      </c>
      <c r="J153" s="14">
        <f t="shared" si="73"/>
        <v>71.499156999999997</v>
      </c>
      <c r="K153" s="15">
        <f t="shared" si="72"/>
        <v>211.63750471999998</v>
      </c>
      <c r="L153" s="2"/>
      <c r="M153" s="159"/>
      <c r="N153" s="159">
        <f t="shared" ref="N153" si="74">G153*F153</f>
        <v>65.62912</v>
      </c>
      <c r="O153" s="159">
        <f t="shared" ref="O153" si="75">H153*F153</f>
        <v>98.443679999999986</v>
      </c>
      <c r="P153" s="240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45" x14ac:dyDescent="0.2">
      <c r="A154" s="166" t="s">
        <v>195</v>
      </c>
      <c r="B154" s="152" t="s">
        <v>621</v>
      </c>
      <c r="C154" s="153" t="s">
        <v>622</v>
      </c>
      <c r="D154" s="153" t="s">
        <v>623</v>
      </c>
      <c r="E154" s="155" t="s">
        <v>16</v>
      </c>
      <c r="F154" s="156">
        <v>21.2</v>
      </c>
      <c r="G154" s="27">
        <f t="shared" si="70"/>
        <v>30.552</v>
      </c>
      <c r="H154" s="27">
        <f t="shared" si="71"/>
        <v>45.827999999999996</v>
      </c>
      <c r="I154" s="155">
        <v>76.38</v>
      </c>
      <c r="J154" s="14">
        <f t="shared" si="73"/>
        <v>98.522561999999994</v>
      </c>
      <c r="K154" s="15">
        <f t="shared" si="72"/>
        <v>2088.6783143999996</v>
      </c>
      <c r="L154" s="2"/>
      <c r="M154" s="16"/>
      <c r="N154" s="16">
        <f t="shared" si="0"/>
        <v>647.70240000000001</v>
      </c>
      <c r="O154" s="16">
        <f t="shared" si="1"/>
        <v>971.55359999999985</v>
      </c>
      <c r="P154" s="240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45" x14ac:dyDescent="0.2">
      <c r="A155" s="24" t="s">
        <v>196</v>
      </c>
      <c r="B155" s="25">
        <v>91341</v>
      </c>
      <c r="C155" s="26" t="s">
        <v>158</v>
      </c>
      <c r="D155" s="26" t="s">
        <v>159</v>
      </c>
      <c r="E155" s="27" t="s">
        <v>16</v>
      </c>
      <c r="F155" s="41">
        <v>1.9</v>
      </c>
      <c r="G155" s="27">
        <f>I155*0.2</f>
        <v>184.11400000000003</v>
      </c>
      <c r="H155" s="27">
        <f>I155*0.8</f>
        <v>736.45600000000013</v>
      </c>
      <c r="I155" s="28">
        <v>920.57</v>
      </c>
      <c r="J155" s="14">
        <f t="shared" si="73"/>
        <v>1187.4432430000002</v>
      </c>
      <c r="K155" s="15">
        <f t="shared" si="72"/>
        <v>2256.1421617000001</v>
      </c>
      <c r="L155" s="2"/>
      <c r="M155" s="16"/>
      <c r="N155" s="16">
        <f t="shared" si="0"/>
        <v>349.81660000000005</v>
      </c>
      <c r="O155" s="16">
        <f t="shared" si="1"/>
        <v>1399.2664000000002</v>
      </c>
      <c r="P155" s="240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s="230" customFormat="1" x14ac:dyDescent="0.2">
      <c r="A156" s="24" t="s">
        <v>197</v>
      </c>
      <c r="B156" s="18" t="s">
        <v>466</v>
      </c>
      <c r="C156" s="19" t="s">
        <v>939</v>
      </c>
      <c r="D156" s="404" t="s">
        <v>199</v>
      </c>
      <c r="E156" s="20" t="s">
        <v>47</v>
      </c>
      <c r="F156" s="39">
        <v>2.4</v>
      </c>
      <c r="G156" s="27">
        <f t="shared" si="70"/>
        <v>40.864000000000004</v>
      </c>
      <c r="H156" s="27">
        <f t="shared" si="71"/>
        <v>61.295999999999992</v>
      </c>
      <c r="I156" s="21">
        <v>102.16</v>
      </c>
      <c r="J156" s="14">
        <f t="shared" si="73"/>
        <v>131.776184</v>
      </c>
      <c r="K156" s="15">
        <f t="shared" si="72"/>
        <v>316.2628416</v>
      </c>
      <c r="L156" s="2"/>
      <c r="M156" s="2"/>
      <c r="N156" s="232">
        <f t="shared" si="0"/>
        <v>98.073600000000013</v>
      </c>
      <c r="O156" s="232">
        <f t="shared" si="1"/>
        <v>147.11039999999997</v>
      </c>
      <c r="P156" s="240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45" x14ac:dyDescent="0.2">
      <c r="A157" s="24" t="s">
        <v>938</v>
      </c>
      <c r="B157" s="25">
        <v>94569</v>
      </c>
      <c r="C157" s="26" t="s">
        <v>198</v>
      </c>
      <c r="D157" s="401"/>
      <c r="E157" s="27" t="s">
        <v>16</v>
      </c>
      <c r="F157" s="41">
        <v>0.25</v>
      </c>
      <c r="G157" s="27">
        <f>I157*0.2</f>
        <v>138.64000000000001</v>
      </c>
      <c r="H157" s="27">
        <f>I157*0.8</f>
        <v>554.56000000000006</v>
      </c>
      <c r="I157" s="28">
        <v>693.2</v>
      </c>
      <c r="J157" s="14">
        <f t="shared" si="73"/>
        <v>894.15868000000012</v>
      </c>
      <c r="K157" s="15">
        <f t="shared" si="72"/>
        <v>223.53967000000003</v>
      </c>
      <c r="L157" s="2"/>
      <c r="M157" s="16"/>
      <c r="N157" s="16">
        <f t="shared" si="0"/>
        <v>34.660000000000004</v>
      </c>
      <c r="O157" s="16">
        <f t="shared" si="1"/>
        <v>138.64000000000001</v>
      </c>
      <c r="P157" s="240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45" x14ac:dyDescent="0.2">
      <c r="A158" s="17" t="s">
        <v>200</v>
      </c>
      <c r="B158" s="18">
        <v>100734</v>
      </c>
      <c r="C158" s="19" t="s">
        <v>104</v>
      </c>
      <c r="D158" s="410" t="s">
        <v>163</v>
      </c>
      <c r="E158" s="20" t="s">
        <v>16</v>
      </c>
      <c r="F158" s="39">
        <v>2.96</v>
      </c>
      <c r="G158" s="27">
        <f t="shared" si="70"/>
        <v>6.04</v>
      </c>
      <c r="H158" s="27">
        <f t="shared" si="71"/>
        <v>9.0599999999999987</v>
      </c>
      <c r="I158" s="21">
        <v>15.1</v>
      </c>
      <c r="J158" s="14">
        <f t="shared" si="73"/>
        <v>19.47749</v>
      </c>
      <c r="K158" s="15">
        <f t="shared" si="72"/>
        <v>57.6533704</v>
      </c>
      <c r="L158" s="2"/>
      <c r="M158" s="2"/>
      <c r="N158" s="16">
        <f t="shared" si="0"/>
        <v>17.878399999999999</v>
      </c>
      <c r="O158" s="16">
        <f t="shared" si="1"/>
        <v>26.817599999999995</v>
      </c>
      <c r="P158" s="240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45" x14ac:dyDescent="0.2">
      <c r="A159" s="23" t="s">
        <v>201</v>
      </c>
      <c r="B159" s="33">
        <v>100754</v>
      </c>
      <c r="C159" s="34" t="s">
        <v>106</v>
      </c>
      <c r="D159" s="408"/>
      <c r="E159" s="35" t="s">
        <v>16</v>
      </c>
      <c r="F159" s="40">
        <v>2.96</v>
      </c>
      <c r="G159" s="27">
        <f t="shared" si="70"/>
        <v>11.804000000000002</v>
      </c>
      <c r="H159" s="27">
        <f t="shared" si="71"/>
        <v>17.706</v>
      </c>
      <c r="I159" s="36">
        <v>29.51</v>
      </c>
      <c r="J159" s="14">
        <f t="shared" si="73"/>
        <v>38.064949000000006</v>
      </c>
      <c r="K159" s="15">
        <f t="shared" si="72"/>
        <v>112.67224904000001</v>
      </c>
      <c r="L159" s="2"/>
      <c r="M159" s="2"/>
      <c r="N159" s="16">
        <f t="shared" si="0"/>
        <v>34.939840000000004</v>
      </c>
      <c r="O159" s="16">
        <f t="shared" si="1"/>
        <v>52.409759999999999</v>
      </c>
      <c r="P159" s="240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s="190" customFormat="1" ht="60" x14ac:dyDescent="0.2">
      <c r="A160" s="184" t="s">
        <v>202</v>
      </c>
      <c r="B160" s="140">
        <v>95472</v>
      </c>
      <c r="C160" s="141" t="s">
        <v>558</v>
      </c>
      <c r="D160" s="412" t="s">
        <v>166</v>
      </c>
      <c r="E160" s="142" t="s">
        <v>31</v>
      </c>
      <c r="F160" s="143">
        <v>1</v>
      </c>
      <c r="G160" s="27">
        <f t="shared" ref="G160:G166" si="76">I160*0.2</f>
        <v>149.202</v>
      </c>
      <c r="H160" s="27">
        <f t="shared" ref="H160:H166" si="77">I160*0.8</f>
        <v>596.80799999999999</v>
      </c>
      <c r="I160" s="142">
        <v>746.01</v>
      </c>
      <c r="J160" s="14">
        <f t="shared" si="73"/>
        <v>962.27829900000006</v>
      </c>
      <c r="K160" s="15">
        <f t="shared" si="72"/>
        <v>962.27829900000006</v>
      </c>
      <c r="L160" s="188"/>
      <c r="M160" s="189"/>
      <c r="N160" s="189">
        <f t="shared" si="0"/>
        <v>149.202</v>
      </c>
      <c r="O160" s="189">
        <f t="shared" si="1"/>
        <v>596.80799999999999</v>
      </c>
      <c r="P160" s="240"/>
      <c r="Q160" s="2"/>
      <c r="R160" s="188"/>
      <c r="S160" s="188"/>
      <c r="T160" s="188"/>
      <c r="U160" s="188"/>
      <c r="V160" s="188"/>
      <c r="W160" s="188"/>
      <c r="X160" s="188"/>
      <c r="Y160" s="188"/>
      <c r="Z160" s="188"/>
      <c r="AA160" s="188"/>
      <c r="AB160" s="188"/>
      <c r="AC160" s="188"/>
    </row>
    <row r="161" spans="1:29" ht="30" x14ac:dyDescent="0.2">
      <c r="A161" s="17" t="s">
        <v>203</v>
      </c>
      <c r="B161" s="18">
        <v>100849</v>
      </c>
      <c r="C161" s="19" t="s">
        <v>168</v>
      </c>
      <c r="D161" s="413"/>
      <c r="E161" s="20" t="s">
        <v>31</v>
      </c>
      <c r="F161" s="39">
        <v>1</v>
      </c>
      <c r="G161" s="27">
        <f t="shared" si="76"/>
        <v>9.0400000000000009</v>
      </c>
      <c r="H161" s="27">
        <f t="shared" si="77"/>
        <v>36.160000000000004</v>
      </c>
      <c r="I161" s="21">
        <v>45.2</v>
      </c>
      <c r="J161" s="14">
        <f t="shared" si="73"/>
        <v>58.303480000000008</v>
      </c>
      <c r="K161" s="15">
        <f t="shared" si="72"/>
        <v>58.303480000000008</v>
      </c>
      <c r="L161" s="2"/>
      <c r="M161" s="16"/>
      <c r="N161" s="16">
        <f t="shared" si="0"/>
        <v>9.0400000000000009</v>
      </c>
      <c r="O161" s="16">
        <f t="shared" si="1"/>
        <v>36.160000000000004</v>
      </c>
      <c r="P161" s="240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30" x14ac:dyDescent="0.2">
      <c r="A162" s="17" t="s">
        <v>204</v>
      </c>
      <c r="B162" s="18">
        <v>100868</v>
      </c>
      <c r="C162" s="19" t="s">
        <v>175</v>
      </c>
      <c r="D162" s="413"/>
      <c r="E162" s="20" t="s">
        <v>31</v>
      </c>
      <c r="F162" s="39">
        <v>2</v>
      </c>
      <c r="G162" s="27">
        <f t="shared" si="76"/>
        <v>77.022000000000006</v>
      </c>
      <c r="H162" s="27">
        <f t="shared" si="77"/>
        <v>308.08800000000002</v>
      </c>
      <c r="I162" s="21">
        <v>385.11</v>
      </c>
      <c r="J162" s="14">
        <f t="shared" si="73"/>
        <v>496.75338900000003</v>
      </c>
      <c r="K162" s="15">
        <f t="shared" si="72"/>
        <v>993.50677800000005</v>
      </c>
      <c r="L162" s="2"/>
      <c r="M162" s="16"/>
      <c r="N162" s="16">
        <f t="shared" si="0"/>
        <v>154.04400000000001</v>
      </c>
      <c r="O162" s="16">
        <f t="shared" si="1"/>
        <v>616.17600000000004</v>
      </c>
      <c r="P162" s="240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30" x14ac:dyDescent="0.2">
      <c r="A163" s="17" t="s">
        <v>205</v>
      </c>
      <c r="B163" s="18">
        <v>100867</v>
      </c>
      <c r="C163" s="19" t="s">
        <v>177</v>
      </c>
      <c r="D163" s="413"/>
      <c r="E163" s="20" t="s">
        <v>31</v>
      </c>
      <c r="F163" s="39">
        <v>1</v>
      </c>
      <c r="G163" s="27">
        <f t="shared" si="76"/>
        <v>74.400000000000006</v>
      </c>
      <c r="H163" s="27">
        <f t="shared" si="77"/>
        <v>297.60000000000002</v>
      </c>
      <c r="I163" s="21">
        <v>372</v>
      </c>
      <c r="J163" s="14">
        <f t="shared" si="73"/>
        <v>479.84280000000001</v>
      </c>
      <c r="K163" s="15">
        <f t="shared" si="72"/>
        <v>479.84280000000001</v>
      </c>
      <c r="L163" s="2"/>
      <c r="M163" s="16"/>
      <c r="N163" s="16">
        <f t="shared" si="0"/>
        <v>74.400000000000006</v>
      </c>
      <c r="O163" s="16">
        <f t="shared" si="1"/>
        <v>297.60000000000002</v>
      </c>
      <c r="P163" s="240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30" x14ac:dyDescent="0.2">
      <c r="A164" s="17" t="s">
        <v>206</v>
      </c>
      <c r="B164" s="18">
        <v>100866</v>
      </c>
      <c r="C164" s="19" t="s">
        <v>179</v>
      </c>
      <c r="D164" s="413"/>
      <c r="E164" s="20" t="s">
        <v>31</v>
      </c>
      <c r="F164" s="39">
        <v>3</v>
      </c>
      <c r="G164" s="27">
        <f t="shared" si="76"/>
        <v>70.462000000000003</v>
      </c>
      <c r="H164" s="27">
        <f t="shared" si="77"/>
        <v>281.84800000000001</v>
      </c>
      <c r="I164" s="21">
        <v>352.31</v>
      </c>
      <c r="J164" s="14">
        <f t="shared" si="73"/>
        <v>454.44466900000003</v>
      </c>
      <c r="K164" s="15">
        <f t="shared" si="72"/>
        <v>1363.3340070000002</v>
      </c>
      <c r="L164" s="2"/>
      <c r="M164" s="16"/>
      <c r="N164" s="16">
        <f t="shared" si="0"/>
        <v>211.38600000000002</v>
      </c>
      <c r="O164" s="16">
        <f t="shared" si="1"/>
        <v>845.5440000000001</v>
      </c>
      <c r="P164" s="240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75" x14ac:dyDescent="0.2">
      <c r="A165" s="23" t="s">
        <v>207</v>
      </c>
      <c r="B165" s="44" t="s">
        <v>181</v>
      </c>
      <c r="C165" s="34" t="s">
        <v>976</v>
      </c>
      <c r="D165" s="408"/>
      <c r="E165" s="35" t="s">
        <v>31</v>
      </c>
      <c r="F165" s="40">
        <v>1</v>
      </c>
      <c r="G165" s="27">
        <f t="shared" si="76"/>
        <v>88.194000000000017</v>
      </c>
      <c r="H165" s="27">
        <f t="shared" si="77"/>
        <v>352.77600000000007</v>
      </c>
      <c r="I165" s="36">
        <v>440.97</v>
      </c>
      <c r="J165" s="14">
        <f t="shared" si="73"/>
        <v>568.80720300000007</v>
      </c>
      <c r="K165" s="15">
        <f t="shared" si="72"/>
        <v>568.80720300000007</v>
      </c>
      <c r="L165" s="2"/>
      <c r="M165" s="16"/>
      <c r="N165" s="16">
        <f t="shared" si="0"/>
        <v>88.194000000000017</v>
      </c>
      <c r="O165" s="16">
        <f t="shared" si="1"/>
        <v>352.77600000000007</v>
      </c>
      <c r="P165" s="240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s="246" customFormat="1" x14ac:dyDescent="0.2">
      <c r="A166" s="184" t="s">
        <v>170</v>
      </c>
      <c r="B166" s="18" t="s">
        <v>973</v>
      </c>
      <c r="C166" s="19" t="s">
        <v>974</v>
      </c>
      <c r="D166" s="250"/>
      <c r="E166" s="20" t="s">
        <v>16</v>
      </c>
      <c r="F166" s="39">
        <v>0.7</v>
      </c>
      <c r="G166" s="27">
        <f t="shared" si="76"/>
        <v>71.665999999999997</v>
      </c>
      <c r="H166" s="27">
        <f t="shared" si="77"/>
        <v>286.66399999999999</v>
      </c>
      <c r="I166" s="21">
        <v>358.33</v>
      </c>
      <c r="J166" s="14">
        <f t="shared" si="73"/>
        <v>462.20986699999997</v>
      </c>
      <c r="K166" s="15">
        <f t="shared" si="72"/>
        <v>323.54690689999995</v>
      </c>
      <c r="L166" s="2"/>
      <c r="M166" s="247"/>
      <c r="N166" s="247">
        <f t="shared" si="0"/>
        <v>50.166199999999996</v>
      </c>
      <c r="O166" s="247">
        <f t="shared" si="1"/>
        <v>200.66479999999999</v>
      </c>
      <c r="P166" s="240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8.75" x14ac:dyDescent="0.2">
      <c r="A167" s="349" t="s">
        <v>208</v>
      </c>
      <c r="B167" s="346"/>
      <c r="C167" s="346"/>
      <c r="D167" s="347"/>
      <c r="E167" s="7"/>
      <c r="F167" s="7"/>
      <c r="G167" s="7"/>
      <c r="H167" s="7"/>
      <c r="I167" s="37"/>
      <c r="J167" s="37"/>
      <c r="K167" s="8">
        <f>SUM(K168:K197)</f>
        <v>27352.432692000002</v>
      </c>
      <c r="L167" s="2"/>
      <c r="M167" s="2"/>
      <c r="N167" s="16">
        <f t="shared" si="0"/>
        <v>0</v>
      </c>
      <c r="O167" s="16">
        <f t="shared" si="1"/>
        <v>0</v>
      </c>
      <c r="P167" s="240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s="190" customFormat="1" x14ac:dyDescent="0.2">
      <c r="A168" s="179" t="s">
        <v>405</v>
      </c>
      <c r="B168" s="144">
        <v>99814</v>
      </c>
      <c r="C168" s="145" t="s">
        <v>388</v>
      </c>
      <c r="D168" s="173" t="s">
        <v>389</v>
      </c>
      <c r="E168" s="147" t="s">
        <v>16</v>
      </c>
      <c r="F168" s="146">
        <f>F181+F183+F187</f>
        <v>133.18</v>
      </c>
      <c r="G168" s="27">
        <f>I168*0.8</f>
        <v>1.4640000000000002</v>
      </c>
      <c r="H168" s="27">
        <f>I168*0.2</f>
        <v>0.36600000000000005</v>
      </c>
      <c r="I168" s="147">
        <v>1.83</v>
      </c>
      <c r="J168" s="14">
        <f t="shared" si="73"/>
        <v>2.3605170000000002</v>
      </c>
      <c r="K168" s="15">
        <f t="shared" ref="K168" si="78">J168*F168</f>
        <v>314.37365406000004</v>
      </c>
      <c r="L168" s="188"/>
      <c r="M168" s="189"/>
      <c r="N168" s="189">
        <f t="shared" si="0"/>
        <v>194.97552000000005</v>
      </c>
      <c r="O168" s="189">
        <f t="shared" si="1"/>
        <v>48.743880000000011</v>
      </c>
      <c r="P168" s="240"/>
      <c r="Q168" s="2"/>
      <c r="R168" s="188"/>
      <c r="S168" s="188"/>
      <c r="T168" s="188"/>
      <c r="U168" s="188"/>
      <c r="V168" s="188"/>
      <c r="W168" s="188"/>
      <c r="X168" s="188"/>
      <c r="Y168" s="188"/>
      <c r="Z168" s="188"/>
      <c r="AA168" s="188"/>
      <c r="AB168" s="188"/>
      <c r="AC168" s="188"/>
    </row>
    <row r="169" spans="1:29" ht="60" x14ac:dyDescent="0.2">
      <c r="A169" s="17" t="s">
        <v>209</v>
      </c>
      <c r="B169" s="48" t="s">
        <v>141</v>
      </c>
      <c r="C169" s="19" t="s">
        <v>139</v>
      </c>
      <c r="D169" s="404" t="s">
        <v>614</v>
      </c>
      <c r="E169" s="20" t="s">
        <v>47</v>
      </c>
      <c r="F169" s="18">
        <v>9.1999999999999993</v>
      </c>
      <c r="G169" s="147">
        <f t="shared" ref="G169:G193" si="79">I169*0.4</f>
        <v>13.684000000000001</v>
      </c>
      <c r="H169" s="147">
        <f t="shared" ref="H169:H193" si="80">I169*0.6</f>
        <v>20.526</v>
      </c>
      <c r="I169" s="21">
        <f>24.21+10</f>
        <v>34.21</v>
      </c>
      <c r="J169" s="14">
        <f t="shared" si="73"/>
        <v>44.127479000000001</v>
      </c>
      <c r="K169" s="15">
        <f t="shared" ref="K169:K197" si="81">J169*F169</f>
        <v>405.9728068</v>
      </c>
      <c r="L169" s="2"/>
      <c r="M169" s="16"/>
      <c r="N169" s="16">
        <f t="shared" si="0"/>
        <v>125.89279999999999</v>
      </c>
      <c r="O169" s="16">
        <f t="shared" si="1"/>
        <v>188.83919999999998</v>
      </c>
      <c r="P169" s="240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45" x14ac:dyDescent="0.2">
      <c r="A170" s="17" t="s">
        <v>210</v>
      </c>
      <c r="B170" s="18">
        <v>89482</v>
      </c>
      <c r="C170" s="19" t="s">
        <v>138</v>
      </c>
      <c r="D170" s="408"/>
      <c r="E170" s="20" t="s">
        <v>31</v>
      </c>
      <c r="F170" s="39">
        <v>1</v>
      </c>
      <c r="G170" s="147">
        <f t="shared" si="79"/>
        <v>16.047999999999998</v>
      </c>
      <c r="H170" s="147">
        <f t="shared" si="80"/>
        <v>24.071999999999999</v>
      </c>
      <c r="I170" s="21">
        <v>40.119999999999997</v>
      </c>
      <c r="J170" s="14">
        <f t="shared" si="73"/>
        <v>51.750788</v>
      </c>
      <c r="K170" s="15">
        <f t="shared" si="81"/>
        <v>51.750788</v>
      </c>
      <c r="L170" s="2"/>
      <c r="M170" s="16"/>
      <c r="N170" s="16">
        <f t="shared" si="0"/>
        <v>16.047999999999998</v>
      </c>
      <c r="O170" s="16">
        <f t="shared" si="1"/>
        <v>24.071999999999999</v>
      </c>
      <c r="P170" s="240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45" x14ac:dyDescent="0.2">
      <c r="A171" s="24" t="s">
        <v>211</v>
      </c>
      <c r="B171" s="25">
        <v>94995</v>
      </c>
      <c r="C171" s="26" t="s">
        <v>90</v>
      </c>
      <c r="D171" s="404" t="s">
        <v>613</v>
      </c>
      <c r="E171" s="27" t="s">
        <v>16</v>
      </c>
      <c r="F171" s="25">
        <v>2.5</v>
      </c>
      <c r="G171" s="147">
        <f t="shared" si="79"/>
        <v>36.660000000000004</v>
      </c>
      <c r="H171" s="147">
        <f t="shared" si="80"/>
        <v>54.99</v>
      </c>
      <c r="I171" s="28">
        <v>91.65</v>
      </c>
      <c r="J171" s="14">
        <f t="shared" si="73"/>
        <v>118.21933500000002</v>
      </c>
      <c r="K171" s="15">
        <f t="shared" si="81"/>
        <v>295.54833750000006</v>
      </c>
      <c r="L171" s="2"/>
      <c r="M171" s="2"/>
      <c r="N171" s="16">
        <f t="shared" si="0"/>
        <v>91.65</v>
      </c>
      <c r="O171" s="16">
        <f t="shared" si="1"/>
        <v>137.47499999999999</v>
      </c>
      <c r="P171" s="240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s="164" customFormat="1" ht="60" x14ac:dyDescent="0.2">
      <c r="A172" s="24" t="s">
        <v>464</v>
      </c>
      <c r="B172" s="10">
        <v>103334</v>
      </c>
      <c r="C172" s="11" t="s">
        <v>93</v>
      </c>
      <c r="D172" s="400"/>
      <c r="E172" s="13" t="s">
        <v>16</v>
      </c>
      <c r="F172" s="38">
        <f>1.2*0.3</f>
        <v>0.36</v>
      </c>
      <c r="G172" s="147">
        <f t="shared" si="79"/>
        <v>62.5</v>
      </c>
      <c r="H172" s="147">
        <f t="shared" si="80"/>
        <v>93.75</v>
      </c>
      <c r="I172" s="14">
        <v>156.25</v>
      </c>
      <c r="J172" s="14">
        <f t="shared" si="73"/>
        <v>201.546875</v>
      </c>
      <c r="K172" s="15">
        <f t="shared" si="81"/>
        <v>72.556874999999991</v>
      </c>
      <c r="L172" s="2"/>
      <c r="M172" s="2"/>
      <c r="N172" s="165">
        <f t="shared" ref="N172:N173" si="82">G172*F172</f>
        <v>22.5</v>
      </c>
      <c r="O172" s="165">
        <f t="shared" ref="O172:O173" si="83">H172*F172</f>
        <v>33.75</v>
      </c>
      <c r="P172" s="240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s="164" customFormat="1" x14ac:dyDescent="0.2">
      <c r="A173" s="24" t="s">
        <v>465</v>
      </c>
      <c r="B173" s="18" t="s">
        <v>466</v>
      </c>
      <c r="C173" s="19" t="s">
        <v>467</v>
      </c>
      <c r="D173" s="401"/>
      <c r="E173" s="20" t="s">
        <v>47</v>
      </c>
      <c r="F173" s="39">
        <v>1.2</v>
      </c>
      <c r="G173" s="147">
        <f t="shared" si="79"/>
        <v>40.864000000000004</v>
      </c>
      <c r="H173" s="147">
        <f t="shared" si="80"/>
        <v>61.295999999999992</v>
      </c>
      <c r="I173" s="21">
        <v>102.16</v>
      </c>
      <c r="J173" s="14">
        <f t="shared" si="73"/>
        <v>131.776184</v>
      </c>
      <c r="K173" s="15">
        <f t="shared" si="81"/>
        <v>158.1314208</v>
      </c>
      <c r="L173" s="2"/>
      <c r="M173" s="2"/>
      <c r="N173" s="165">
        <f t="shared" si="82"/>
        <v>49.036800000000007</v>
      </c>
      <c r="O173" s="165">
        <f t="shared" si="83"/>
        <v>73.555199999999985</v>
      </c>
      <c r="P173" s="240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s="190" customFormat="1" ht="30" x14ac:dyDescent="0.2">
      <c r="A174" s="184" t="s">
        <v>212</v>
      </c>
      <c r="B174" s="140">
        <v>97631</v>
      </c>
      <c r="C174" s="141" t="s">
        <v>462</v>
      </c>
      <c r="D174" s="402" t="s">
        <v>469</v>
      </c>
      <c r="E174" s="155" t="s">
        <v>16</v>
      </c>
      <c r="F174" s="140">
        <f>1.5*4.3</f>
        <v>6.4499999999999993</v>
      </c>
      <c r="G174" s="147">
        <f t="shared" si="79"/>
        <v>4.4479999999999995</v>
      </c>
      <c r="H174" s="147">
        <f t="shared" si="80"/>
        <v>6.6719999999999997</v>
      </c>
      <c r="I174" s="142">
        <v>11.12</v>
      </c>
      <c r="J174" s="14">
        <f t="shared" si="73"/>
        <v>14.343688</v>
      </c>
      <c r="K174" s="15">
        <f t="shared" si="81"/>
        <v>92.516787599999986</v>
      </c>
      <c r="L174" s="188"/>
      <c r="M174" s="189"/>
      <c r="N174" s="189">
        <f t="shared" si="0"/>
        <v>28.689599999999995</v>
      </c>
      <c r="O174" s="189">
        <f t="shared" si="1"/>
        <v>43.034399999999991</v>
      </c>
      <c r="P174" s="240"/>
      <c r="Q174" s="2"/>
      <c r="R174" s="188"/>
      <c r="S174" s="188"/>
      <c r="T174" s="188"/>
      <c r="U174" s="188"/>
      <c r="V174" s="188"/>
      <c r="W174" s="188"/>
      <c r="X174" s="188"/>
      <c r="Y174" s="188"/>
      <c r="Z174" s="188"/>
      <c r="AA174" s="188"/>
      <c r="AB174" s="188"/>
      <c r="AC174" s="188"/>
    </row>
    <row r="175" spans="1:29" s="190" customFormat="1" ht="45" x14ac:dyDescent="0.2">
      <c r="A175" s="184" t="s">
        <v>213</v>
      </c>
      <c r="B175" s="140">
        <v>87905</v>
      </c>
      <c r="C175" s="141" t="s">
        <v>463</v>
      </c>
      <c r="D175" s="405"/>
      <c r="E175" s="155" t="s">
        <v>16</v>
      </c>
      <c r="F175" s="140">
        <f>1.5*4.3</f>
        <v>6.4499999999999993</v>
      </c>
      <c r="G175" s="147">
        <f t="shared" si="79"/>
        <v>3.2640000000000002</v>
      </c>
      <c r="H175" s="147">
        <f t="shared" si="80"/>
        <v>4.8959999999999999</v>
      </c>
      <c r="I175" s="142">
        <v>8.16</v>
      </c>
      <c r="J175" s="14">
        <f t="shared" si="73"/>
        <v>10.525584</v>
      </c>
      <c r="K175" s="15">
        <f t="shared" si="81"/>
        <v>67.890016799999998</v>
      </c>
      <c r="L175" s="188"/>
      <c r="M175" s="189"/>
      <c r="N175" s="189">
        <f t="shared" ref="N175" si="84">G175*F175</f>
        <v>21.052799999999998</v>
      </c>
      <c r="O175" s="189">
        <f t="shared" ref="O175" si="85">H175*F175</f>
        <v>31.579199999999997</v>
      </c>
      <c r="P175" s="240"/>
      <c r="Q175" s="2"/>
      <c r="R175" s="188"/>
      <c r="S175" s="188"/>
      <c r="T175" s="188"/>
      <c r="U175" s="188"/>
      <c r="V175" s="188"/>
      <c r="W175" s="188"/>
      <c r="X175" s="188"/>
      <c r="Y175" s="188"/>
      <c r="Z175" s="188"/>
      <c r="AA175" s="188"/>
      <c r="AB175" s="188"/>
      <c r="AC175" s="188"/>
    </row>
    <row r="176" spans="1:29" s="190" customFormat="1" ht="45" x14ac:dyDescent="0.2">
      <c r="A176" s="184" t="s">
        <v>214</v>
      </c>
      <c r="B176" s="144">
        <v>104237</v>
      </c>
      <c r="C176" s="145" t="s">
        <v>468</v>
      </c>
      <c r="D176" s="405"/>
      <c r="E176" s="147" t="s">
        <v>16</v>
      </c>
      <c r="F176" s="140">
        <f>1.5*4.3</f>
        <v>6.4499999999999993</v>
      </c>
      <c r="G176" s="147">
        <f t="shared" si="79"/>
        <v>20.908000000000001</v>
      </c>
      <c r="H176" s="147">
        <f t="shared" si="80"/>
        <v>31.362000000000002</v>
      </c>
      <c r="I176" s="147">
        <v>52.27</v>
      </c>
      <c r="J176" s="14">
        <f t="shared" si="73"/>
        <v>67.423073000000002</v>
      </c>
      <c r="K176" s="15">
        <f t="shared" si="81"/>
        <v>434.87882084999995</v>
      </c>
      <c r="L176" s="188"/>
      <c r="M176" s="189"/>
      <c r="N176" s="189">
        <f t="shared" si="0"/>
        <v>134.85659999999999</v>
      </c>
      <c r="O176" s="189">
        <f t="shared" si="1"/>
        <v>202.28489999999999</v>
      </c>
      <c r="P176" s="240"/>
      <c r="Q176" s="2"/>
      <c r="R176" s="188"/>
      <c r="S176" s="188"/>
      <c r="T176" s="188"/>
      <c r="U176" s="188"/>
      <c r="V176" s="188"/>
      <c r="W176" s="188"/>
      <c r="X176" s="188"/>
      <c r="Y176" s="188"/>
      <c r="Z176" s="188"/>
      <c r="AA176" s="188"/>
      <c r="AB176" s="188"/>
      <c r="AC176" s="188"/>
    </row>
    <row r="177" spans="1:29" s="190" customFormat="1" ht="30" x14ac:dyDescent="0.2">
      <c r="A177" s="184" t="s">
        <v>215</v>
      </c>
      <c r="B177" s="144">
        <v>88485</v>
      </c>
      <c r="C177" s="145" t="s">
        <v>383</v>
      </c>
      <c r="D177" s="405"/>
      <c r="E177" s="150" t="s">
        <v>16</v>
      </c>
      <c r="F177" s="140">
        <f>3*4.3</f>
        <v>12.899999999999999</v>
      </c>
      <c r="G177" s="147">
        <f t="shared" si="79"/>
        <v>1.4160000000000001</v>
      </c>
      <c r="H177" s="147">
        <f t="shared" si="80"/>
        <v>2.1240000000000001</v>
      </c>
      <c r="I177" s="147">
        <v>3.54</v>
      </c>
      <c r="J177" s="14">
        <f t="shared" si="73"/>
        <v>4.5662460000000005</v>
      </c>
      <c r="K177" s="15">
        <f t="shared" si="81"/>
        <v>58.904573399999997</v>
      </c>
      <c r="L177" s="188"/>
      <c r="M177" s="189"/>
      <c r="N177" s="189">
        <f t="shared" si="0"/>
        <v>18.266400000000001</v>
      </c>
      <c r="O177" s="189">
        <f t="shared" si="1"/>
        <v>27.3996</v>
      </c>
      <c r="P177" s="240"/>
      <c r="Q177" s="2"/>
      <c r="R177" s="188"/>
      <c r="S177" s="188"/>
      <c r="T177" s="188"/>
      <c r="U177" s="188"/>
      <c r="V177" s="188"/>
      <c r="W177" s="188"/>
      <c r="X177" s="188"/>
      <c r="Y177" s="188"/>
      <c r="Z177" s="188"/>
      <c r="AA177" s="188"/>
      <c r="AB177" s="188"/>
      <c r="AC177" s="188"/>
    </row>
    <row r="178" spans="1:29" s="190" customFormat="1" ht="30" x14ac:dyDescent="0.2">
      <c r="A178" s="184" t="s">
        <v>461</v>
      </c>
      <c r="B178" s="148">
        <v>88489</v>
      </c>
      <c r="C178" s="187" t="s">
        <v>384</v>
      </c>
      <c r="D178" s="405"/>
      <c r="E178" s="147" t="s">
        <v>16</v>
      </c>
      <c r="F178" s="140">
        <f>3*4.3</f>
        <v>12.899999999999999</v>
      </c>
      <c r="G178" s="147">
        <f t="shared" si="79"/>
        <v>4.7600000000000007</v>
      </c>
      <c r="H178" s="147">
        <f t="shared" si="80"/>
        <v>7.14</v>
      </c>
      <c r="I178" s="150">
        <v>11.9</v>
      </c>
      <c r="J178" s="14">
        <f t="shared" si="73"/>
        <v>15.349810000000002</v>
      </c>
      <c r="K178" s="15">
        <f t="shared" si="81"/>
        <v>198.01254900000001</v>
      </c>
      <c r="L178" s="188"/>
      <c r="M178" s="189"/>
      <c r="N178" s="189">
        <f t="shared" ref="N178" si="86">G178*F178</f>
        <v>61.404000000000003</v>
      </c>
      <c r="O178" s="189">
        <f t="shared" ref="O178" si="87">H178*F178</f>
        <v>92.10599999999998</v>
      </c>
      <c r="P178" s="240"/>
      <c r="Q178" s="2"/>
      <c r="R178" s="188"/>
      <c r="S178" s="188"/>
      <c r="T178" s="188"/>
      <c r="U178" s="188"/>
      <c r="V178" s="188"/>
      <c r="W178" s="188"/>
      <c r="X178" s="188"/>
      <c r="Y178" s="188"/>
      <c r="Z178" s="188"/>
      <c r="AA178" s="188"/>
      <c r="AB178" s="188"/>
      <c r="AC178" s="188"/>
    </row>
    <row r="179" spans="1:29" ht="60" x14ac:dyDescent="0.2">
      <c r="A179" s="9" t="s">
        <v>216</v>
      </c>
      <c r="B179" s="43" t="s">
        <v>136</v>
      </c>
      <c r="C179" s="11" t="s">
        <v>150</v>
      </c>
      <c r="D179" s="404" t="s">
        <v>192</v>
      </c>
      <c r="E179" s="13" t="s">
        <v>47</v>
      </c>
      <c r="F179" s="10">
        <v>5.3</v>
      </c>
      <c r="G179" s="147">
        <f t="shared" si="79"/>
        <v>13.316000000000001</v>
      </c>
      <c r="H179" s="147">
        <f t="shared" si="80"/>
        <v>19.974</v>
      </c>
      <c r="I179" s="14">
        <f>23.29+10</f>
        <v>33.29</v>
      </c>
      <c r="J179" s="14">
        <f t="shared" si="73"/>
        <v>42.940770999999998</v>
      </c>
      <c r="K179" s="15">
        <f t="shared" si="81"/>
        <v>227.58608629999998</v>
      </c>
      <c r="L179" s="2"/>
      <c r="M179" s="16"/>
      <c r="N179" s="16">
        <f t="shared" si="0"/>
        <v>70.574799999999996</v>
      </c>
      <c r="O179" s="16">
        <f t="shared" si="1"/>
        <v>105.8622</v>
      </c>
      <c r="P179" s="240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30" x14ac:dyDescent="0.2">
      <c r="A180" s="23" t="s">
        <v>217</v>
      </c>
      <c r="B180" s="33">
        <v>89351</v>
      </c>
      <c r="C180" s="34" t="s">
        <v>154</v>
      </c>
      <c r="D180" s="408"/>
      <c r="E180" s="35" t="s">
        <v>31</v>
      </c>
      <c r="F180" s="40">
        <v>1</v>
      </c>
      <c r="G180" s="147">
        <f t="shared" si="79"/>
        <v>13.02</v>
      </c>
      <c r="H180" s="147">
        <f t="shared" si="80"/>
        <v>19.529999999999998</v>
      </c>
      <c r="I180" s="36">
        <v>32.549999999999997</v>
      </c>
      <c r="J180" s="14">
        <f t="shared" si="73"/>
        <v>41.986244999999997</v>
      </c>
      <c r="K180" s="15">
        <f t="shared" si="81"/>
        <v>41.986244999999997</v>
      </c>
      <c r="L180" s="2"/>
      <c r="M180" s="16"/>
      <c r="N180" s="16">
        <f t="shared" si="0"/>
        <v>13.02</v>
      </c>
      <c r="O180" s="16">
        <f t="shared" si="1"/>
        <v>19.529999999999998</v>
      </c>
      <c r="P180" s="240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s="190" customFormat="1" ht="60" x14ac:dyDescent="0.2">
      <c r="A181" s="185" t="s">
        <v>218</v>
      </c>
      <c r="B181" s="180">
        <v>87630</v>
      </c>
      <c r="C181" s="173" t="s">
        <v>283</v>
      </c>
      <c r="D181" s="402" t="s">
        <v>412</v>
      </c>
      <c r="E181" s="150" t="s">
        <v>16</v>
      </c>
      <c r="F181" s="181">
        <f>27.53+7*1*0.16</f>
        <v>28.650000000000002</v>
      </c>
      <c r="G181" s="147">
        <f t="shared" si="79"/>
        <v>17.336000000000002</v>
      </c>
      <c r="H181" s="147">
        <f t="shared" si="80"/>
        <v>26.004000000000001</v>
      </c>
      <c r="I181" s="182">
        <v>43.34</v>
      </c>
      <c r="J181" s="14">
        <f t="shared" si="73"/>
        <v>55.904266000000007</v>
      </c>
      <c r="K181" s="15">
        <f t="shared" si="81"/>
        <v>1601.6572209000003</v>
      </c>
      <c r="L181" s="188"/>
      <c r="M181" s="189"/>
      <c r="N181" s="189">
        <f t="shared" ref="N181:N182" si="88">G181*F181</f>
        <v>496.67640000000011</v>
      </c>
      <c r="O181" s="189">
        <f t="shared" ref="O181:O182" si="89">H181*F181</f>
        <v>745.01460000000009</v>
      </c>
      <c r="P181" s="240"/>
      <c r="Q181" s="2"/>
      <c r="R181" s="188"/>
      <c r="S181" s="188"/>
      <c r="T181" s="188"/>
      <c r="U181" s="188"/>
      <c r="V181" s="188"/>
      <c r="W181" s="188"/>
      <c r="X181" s="188"/>
      <c r="Y181" s="188"/>
      <c r="Z181" s="188"/>
      <c r="AA181" s="188"/>
      <c r="AB181" s="188"/>
      <c r="AC181" s="188"/>
    </row>
    <row r="182" spans="1:29" s="190" customFormat="1" ht="45" x14ac:dyDescent="0.2">
      <c r="A182" s="185" t="s">
        <v>411</v>
      </c>
      <c r="B182" s="183" t="s">
        <v>401</v>
      </c>
      <c r="C182" s="173" t="s">
        <v>402</v>
      </c>
      <c r="D182" s="403"/>
      <c r="E182" s="150" t="s">
        <v>16</v>
      </c>
      <c r="F182" s="181">
        <f>27.53+7*1*0.16</f>
        <v>28.650000000000002</v>
      </c>
      <c r="G182" s="147">
        <f t="shared" si="79"/>
        <v>22.172000000000001</v>
      </c>
      <c r="H182" s="147">
        <f t="shared" si="80"/>
        <v>33.257999999999996</v>
      </c>
      <c r="I182" s="182">
        <v>55.43</v>
      </c>
      <c r="J182" s="14">
        <f t="shared" si="73"/>
        <v>71.499156999999997</v>
      </c>
      <c r="K182" s="15">
        <f t="shared" si="81"/>
        <v>2048.4508480499999</v>
      </c>
      <c r="L182" s="188"/>
      <c r="M182" s="189"/>
      <c r="N182" s="189">
        <f t="shared" si="88"/>
        <v>635.22780000000012</v>
      </c>
      <c r="O182" s="189">
        <f t="shared" si="89"/>
        <v>952.84169999999995</v>
      </c>
      <c r="P182" s="240"/>
      <c r="Q182" s="2"/>
      <c r="R182" s="188"/>
      <c r="S182" s="188"/>
      <c r="T182" s="188"/>
      <c r="U182" s="188"/>
      <c r="V182" s="188"/>
      <c r="W182" s="188"/>
      <c r="X182" s="188"/>
      <c r="Y182" s="188"/>
      <c r="Z182" s="188"/>
      <c r="AA182" s="188"/>
      <c r="AB182" s="188"/>
      <c r="AC182" s="188"/>
    </row>
    <row r="183" spans="1:29" s="190" customFormat="1" ht="60" x14ac:dyDescent="0.2">
      <c r="A183" s="166" t="s">
        <v>219</v>
      </c>
      <c r="B183" s="191" t="s">
        <v>456</v>
      </c>
      <c r="C183" s="153" t="s">
        <v>484</v>
      </c>
      <c r="D183" s="402" t="s">
        <v>495</v>
      </c>
      <c r="E183" s="155" t="s">
        <v>16</v>
      </c>
      <c r="F183" s="156">
        <v>77</v>
      </c>
      <c r="G183" s="147">
        <f t="shared" si="79"/>
        <v>6.9720000000000004</v>
      </c>
      <c r="H183" s="147">
        <f t="shared" si="80"/>
        <v>10.458</v>
      </c>
      <c r="I183" s="155">
        <v>17.43</v>
      </c>
      <c r="J183" s="14">
        <f t="shared" si="73"/>
        <v>22.482956999999999</v>
      </c>
      <c r="K183" s="15">
        <f t="shared" si="81"/>
        <v>1731.1876889999999</v>
      </c>
      <c r="L183" s="188"/>
      <c r="M183" s="189"/>
      <c r="N183" s="189">
        <f t="shared" si="0"/>
        <v>536.84400000000005</v>
      </c>
      <c r="O183" s="189">
        <f t="shared" si="1"/>
        <v>805.26599999999996</v>
      </c>
      <c r="P183" s="240"/>
      <c r="Q183" s="2"/>
      <c r="R183" s="188"/>
      <c r="S183" s="188"/>
      <c r="T183" s="188"/>
      <c r="U183" s="188"/>
      <c r="V183" s="188"/>
      <c r="W183" s="188"/>
      <c r="X183" s="188"/>
      <c r="Y183" s="188"/>
      <c r="Z183" s="188"/>
      <c r="AA183" s="188"/>
      <c r="AB183" s="188"/>
      <c r="AC183" s="188"/>
    </row>
    <row r="184" spans="1:29" s="190" customFormat="1" ht="45" x14ac:dyDescent="0.2">
      <c r="A184" s="166" t="s">
        <v>470</v>
      </c>
      <c r="B184" s="152">
        <v>87894</v>
      </c>
      <c r="C184" s="153" t="s">
        <v>482</v>
      </c>
      <c r="D184" s="405"/>
      <c r="E184" s="155" t="s">
        <v>16</v>
      </c>
      <c r="F184" s="156">
        <f>77/2</f>
        <v>38.5</v>
      </c>
      <c r="G184" s="147">
        <f t="shared" si="79"/>
        <v>2.8000000000000003</v>
      </c>
      <c r="H184" s="147">
        <f t="shared" si="80"/>
        <v>4.2</v>
      </c>
      <c r="I184" s="155">
        <v>7</v>
      </c>
      <c r="J184" s="14">
        <f t="shared" si="73"/>
        <v>9.029300000000001</v>
      </c>
      <c r="K184" s="15">
        <f t="shared" si="81"/>
        <v>347.62805000000003</v>
      </c>
      <c r="L184" s="188"/>
      <c r="M184" s="189"/>
      <c r="N184" s="189">
        <f t="shared" ref="N184" si="90">G184*F184</f>
        <v>107.80000000000001</v>
      </c>
      <c r="O184" s="189">
        <f t="shared" ref="O184" si="91">H184*F184</f>
        <v>161.70000000000002</v>
      </c>
      <c r="P184" s="240"/>
      <c r="Q184" s="2"/>
      <c r="R184" s="188"/>
      <c r="S184" s="188"/>
      <c r="T184" s="188"/>
      <c r="U184" s="188"/>
      <c r="V184" s="188"/>
      <c r="W184" s="188"/>
      <c r="X184" s="188"/>
      <c r="Y184" s="188"/>
      <c r="Z184" s="188"/>
      <c r="AA184" s="188"/>
      <c r="AB184" s="188"/>
      <c r="AC184" s="188"/>
    </row>
    <row r="185" spans="1:29" s="190" customFormat="1" ht="45" x14ac:dyDescent="0.2">
      <c r="A185" s="166" t="s">
        <v>480</v>
      </c>
      <c r="B185" s="152">
        <v>87531</v>
      </c>
      <c r="C185" s="153" t="s">
        <v>483</v>
      </c>
      <c r="D185" s="403"/>
      <c r="E185" s="155" t="s">
        <v>16</v>
      </c>
      <c r="F185" s="156">
        <f>77/2</f>
        <v>38.5</v>
      </c>
      <c r="G185" s="147">
        <f t="shared" si="79"/>
        <v>14.16</v>
      </c>
      <c r="H185" s="147">
        <f t="shared" si="80"/>
        <v>21.24</v>
      </c>
      <c r="I185" s="155">
        <v>35.4</v>
      </c>
      <c r="J185" s="14">
        <f t="shared" si="73"/>
        <v>45.662460000000003</v>
      </c>
      <c r="K185" s="15">
        <f t="shared" si="81"/>
        <v>1758.0047100000002</v>
      </c>
      <c r="L185" s="188"/>
      <c r="M185" s="189"/>
      <c r="N185" s="189">
        <f t="shared" si="0"/>
        <v>545.16</v>
      </c>
      <c r="O185" s="189">
        <f t="shared" si="1"/>
        <v>817.7399999999999</v>
      </c>
      <c r="P185" s="240"/>
      <c r="Q185" s="2"/>
      <c r="R185" s="188"/>
      <c r="S185" s="188"/>
      <c r="T185" s="188"/>
      <c r="U185" s="188"/>
      <c r="V185" s="188"/>
      <c r="W185" s="188"/>
      <c r="X185" s="188"/>
      <c r="Y185" s="188"/>
      <c r="Z185" s="188"/>
      <c r="AA185" s="188"/>
      <c r="AB185" s="188"/>
      <c r="AC185" s="188"/>
    </row>
    <row r="186" spans="1:29" s="190" customFormat="1" ht="45" x14ac:dyDescent="0.2">
      <c r="A186" s="166" t="s">
        <v>481</v>
      </c>
      <c r="B186" s="152" t="s">
        <v>621</v>
      </c>
      <c r="C186" s="153" t="s">
        <v>622</v>
      </c>
      <c r="D186" s="153" t="s">
        <v>623</v>
      </c>
      <c r="E186" s="155" t="s">
        <v>16</v>
      </c>
      <c r="F186" s="156">
        <v>77</v>
      </c>
      <c r="G186" s="147">
        <f t="shared" si="79"/>
        <v>30.552</v>
      </c>
      <c r="H186" s="147">
        <f t="shared" si="80"/>
        <v>45.827999999999996</v>
      </c>
      <c r="I186" s="155">
        <v>76.38</v>
      </c>
      <c r="J186" s="14">
        <f t="shared" si="73"/>
        <v>98.522561999999994</v>
      </c>
      <c r="K186" s="15">
        <f t="shared" si="81"/>
        <v>7586.2372739999992</v>
      </c>
      <c r="L186" s="188"/>
      <c r="M186" s="189"/>
      <c r="N186" s="189">
        <f t="shared" ref="N186" si="92">G186*F186</f>
        <v>2352.5039999999999</v>
      </c>
      <c r="O186" s="189">
        <f t="shared" ref="O186" si="93">H186*F186</f>
        <v>3528.7559999999999</v>
      </c>
      <c r="P186" s="240"/>
      <c r="Q186" s="2"/>
      <c r="R186" s="188"/>
      <c r="S186" s="188"/>
      <c r="T186" s="188"/>
      <c r="U186" s="188"/>
      <c r="V186" s="188"/>
      <c r="W186" s="188"/>
      <c r="X186" s="188"/>
      <c r="Y186" s="188"/>
      <c r="Z186" s="188"/>
      <c r="AA186" s="188"/>
      <c r="AB186" s="188"/>
      <c r="AC186" s="188"/>
    </row>
    <row r="187" spans="1:29" ht="30" x14ac:dyDescent="0.2">
      <c r="A187" s="17" t="s">
        <v>220</v>
      </c>
      <c r="B187" s="18" t="s">
        <v>966</v>
      </c>
      <c r="C187" s="19" t="s">
        <v>967</v>
      </c>
      <c r="D187" s="410" t="s">
        <v>968</v>
      </c>
      <c r="E187" s="20" t="s">
        <v>16</v>
      </c>
      <c r="F187" s="39">
        <v>27.53</v>
      </c>
      <c r="G187" s="147">
        <f t="shared" si="79"/>
        <v>29.436000000000003</v>
      </c>
      <c r="H187" s="147">
        <f t="shared" si="80"/>
        <v>44.154000000000003</v>
      </c>
      <c r="I187" s="21">
        <v>73.59</v>
      </c>
      <c r="J187" s="14">
        <f t="shared" si="73"/>
        <v>94.923741000000007</v>
      </c>
      <c r="K187" s="15">
        <f t="shared" si="81"/>
        <v>2613.2505897300002</v>
      </c>
      <c r="L187" s="2"/>
      <c r="M187" s="2"/>
      <c r="N187" s="16">
        <f t="shared" si="0"/>
        <v>810.37308000000019</v>
      </c>
      <c r="O187" s="16">
        <f t="shared" si="1"/>
        <v>1215.5596200000002</v>
      </c>
      <c r="P187" s="240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30" x14ac:dyDescent="0.2">
      <c r="A188" s="23" t="s">
        <v>221</v>
      </c>
      <c r="B188" s="33">
        <v>96121</v>
      </c>
      <c r="C188" s="34" t="s">
        <v>222</v>
      </c>
      <c r="D188" s="408"/>
      <c r="E188" s="35" t="s">
        <v>47</v>
      </c>
      <c r="F188" s="40">
        <v>32.5</v>
      </c>
      <c r="G188" s="147">
        <f t="shared" si="79"/>
        <v>4.8320000000000007</v>
      </c>
      <c r="H188" s="147">
        <f t="shared" si="80"/>
        <v>7.2479999999999993</v>
      </c>
      <c r="I188" s="36">
        <v>12.08</v>
      </c>
      <c r="J188" s="14">
        <f t="shared" si="73"/>
        <v>15.581992000000001</v>
      </c>
      <c r="K188" s="15">
        <f t="shared" si="81"/>
        <v>506.41474000000005</v>
      </c>
      <c r="L188" s="2"/>
      <c r="M188" s="2"/>
      <c r="N188" s="16">
        <f t="shared" si="0"/>
        <v>157.04000000000002</v>
      </c>
      <c r="O188" s="16">
        <f t="shared" si="1"/>
        <v>235.55999999999997</v>
      </c>
      <c r="P188" s="240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60" x14ac:dyDescent="0.2">
      <c r="A189" s="9" t="s">
        <v>223</v>
      </c>
      <c r="B189" s="43" t="s">
        <v>97</v>
      </c>
      <c r="C189" s="11" t="s">
        <v>98</v>
      </c>
      <c r="D189" s="404" t="s">
        <v>99</v>
      </c>
      <c r="E189" s="13" t="s">
        <v>47</v>
      </c>
      <c r="F189" s="38">
        <v>1.25</v>
      </c>
      <c r="G189" s="147">
        <f>I189*0.2</f>
        <v>150</v>
      </c>
      <c r="H189" s="147">
        <f>I189*0.8</f>
        <v>600</v>
      </c>
      <c r="I189" s="14">
        <v>750</v>
      </c>
      <c r="J189" s="14">
        <f t="shared" si="73"/>
        <v>967.42500000000007</v>
      </c>
      <c r="K189" s="15">
        <f t="shared" si="81"/>
        <v>1209.28125</v>
      </c>
      <c r="L189" s="2"/>
      <c r="M189" s="2"/>
      <c r="N189" s="16">
        <f t="shared" si="0"/>
        <v>187.5</v>
      </c>
      <c r="O189" s="16">
        <f t="shared" si="1"/>
        <v>750</v>
      </c>
      <c r="P189" s="240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30" x14ac:dyDescent="0.2">
      <c r="A190" s="17" t="s">
        <v>224</v>
      </c>
      <c r="B190" s="44" t="s">
        <v>101</v>
      </c>
      <c r="C190" s="19" t="s">
        <v>102</v>
      </c>
      <c r="D190" s="409"/>
      <c r="E190" s="20" t="s">
        <v>47</v>
      </c>
      <c r="F190" s="39">
        <v>1.55</v>
      </c>
      <c r="G190" s="147">
        <f>I190*0.2</f>
        <v>50</v>
      </c>
      <c r="H190" s="147">
        <f>I190*0.8</f>
        <v>200</v>
      </c>
      <c r="I190" s="21">
        <v>250</v>
      </c>
      <c r="J190" s="14">
        <f t="shared" si="73"/>
        <v>322.47500000000002</v>
      </c>
      <c r="K190" s="15">
        <f t="shared" si="81"/>
        <v>499.83625000000006</v>
      </c>
      <c r="L190" s="2"/>
      <c r="M190" s="2"/>
      <c r="N190" s="16">
        <f t="shared" si="0"/>
        <v>77.5</v>
      </c>
      <c r="O190" s="16">
        <f t="shared" si="1"/>
        <v>310</v>
      </c>
      <c r="P190" s="240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s="169" customFormat="1" ht="45" x14ac:dyDescent="0.2">
      <c r="A191" s="24" t="s">
        <v>496</v>
      </c>
      <c r="B191" s="25">
        <v>103330</v>
      </c>
      <c r="C191" s="26" t="s">
        <v>498</v>
      </c>
      <c r="D191" s="404" t="s">
        <v>940</v>
      </c>
      <c r="E191" s="27" t="s">
        <v>16</v>
      </c>
      <c r="F191" s="41">
        <v>2.1</v>
      </c>
      <c r="G191" s="147">
        <f t="shared" si="79"/>
        <v>37.032000000000004</v>
      </c>
      <c r="H191" s="147">
        <f t="shared" si="80"/>
        <v>55.547999999999995</v>
      </c>
      <c r="I191" s="28">
        <v>92.58</v>
      </c>
      <c r="J191" s="14">
        <f t="shared" si="73"/>
        <v>119.418942</v>
      </c>
      <c r="K191" s="15">
        <f t="shared" si="81"/>
        <v>250.77977820000001</v>
      </c>
      <c r="L191" s="2"/>
      <c r="M191" s="170"/>
      <c r="N191" s="170">
        <f t="shared" si="0"/>
        <v>77.767200000000017</v>
      </c>
      <c r="O191" s="170">
        <f t="shared" si="1"/>
        <v>116.65079999999999</v>
      </c>
      <c r="P191" s="240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s="169" customFormat="1" ht="30" x14ac:dyDescent="0.2">
      <c r="A192" s="24" t="s">
        <v>497</v>
      </c>
      <c r="B192" s="25">
        <v>87794</v>
      </c>
      <c r="C192" s="26" t="s">
        <v>500</v>
      </c>
      <c r="D192" s="400"/>
      <c r="E192" s="27" t="s">
        <v>16</v>
      </c>
      <c r="F192" s="41">
        <v>4.2</v>
      </c>
      <c r="G192" s="147">
        <f t="shared" si="79"/>
        <v>17.244</v>
      </c>
      <c r="H192" s="147">
        <f t="shared" si="80"/>
        <v>25.866</v>
      </c>
      <c r="I192" s="28">
        <v>43.11</v>
      </c>
      <c r="J192" s="14">
        <f t="shared" si="73"/>
        <v>55.607589000000004</v>
      </c>
      <c r="K192" s="15">
        <f t="shared" si="81"/>
        <v>233.55187380000004</v>
      </c>
      <c r="L192" s="2"/>
      <c r="M192" s="170"/>
      <c r="N192" s="170">
        <f t="shared" ref="N192:N193" si="94">G192*F192</f>
        <v>72.424800000000005</v>
      </c>
      <c r="O192" s="170">
        <f t="shared" ref="O192:O193" si="95">H192*F192</f>
        <v>108.63720000000001</v>
      </c>
      <c r="P192" s="240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s="230" customFormat="1" x14ac:dyDescent="0.2">
      <c r="A193" s="24" t="s">
        <v>197</v>
      </c>
      <c r="B193" s="18" t="s">
        <v>466</v>
      </c>
      <c r="C193" s="19" t="s">
        <v>941</v>
      </c>
      <c r="D193" s="401"/>
      <c r="E193" s="20" t="s">
        <v>47</v>
      </c>
      <c r="F193" s="39">
        <v>4.9000000000000004</v>
      </c>
      <c r="G193" s="147">
        <f t="shared" si="79"/>
        <v>40.864000000000004</v>
      </c>
      <c r="H193" s="147">
        <f t="shared" si="80"/>
        <v>61.295999999999992</v>
      </c>
      <c r="I193" s="21">
        <v>102.16</v>
      </c>
      <c r="J193" s="14">
        <f t="shared" si="73"/>
        <v>131.776184</v>
      </c>
      <c r="K193" s="15">
        <f t="shared" si="81"/>
        <v>645.70330160000003</v>
      </c>
      <c r="L193" s="2"/>
      <c r="M193" s="2"/>
      <c r="N193" s="232">
        <f t="shared" si="94"/>
        <v>200.23360000000002</v>
      </c>
      <c r="O193" s="232">
        <f t="shared" si="95"/>
        <v>300.35039999999998</v>
      </c>
      <c r="P193" s="240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s="169" customFormat="1" ht="45" x14ac:dyDescent="0.2">
      <c r="A194" s="24" t="s">
        <v>499</v>
      </c>
      <c r="B194" s="25" t="s">
        <v>643</v>
      </c>
      <c r="C194" s="26" t="s">
        <v>644</v>
      </c>
      <c r="D194" s="26" t="s">
        <v>645</v>
      </c>
      <c r="E194" s="27" t="s">
        <v>16</v>
      </c>
      <c r="F194" s="41">
        <v>1.47</v>
      </c>
      <c r="G194" s="147">
        <f>I194*0.2</f>
        <v>244.07399999999998</v>
      </c>
      <c r="H194" s="147">
        <f>I194*0.8</f>
        <v>976.29599999999994</v>
      </c>
      <c r="I194" s="28">
        <v>1220.3699999999999</v>
      </c>
      <c r="J194" s="14">
        <f t="shared" si="73"/>
        <v>1574.1552629999999</v>
      </c>
      <c r="K194" s="15">
        <f t="shared" si="81"/>
        <v>2314.0082366099996</v>
      </c>
      <c r="L194" s="2"/>
      <c r="M194" s="170"/>
      <c r="N194" s="170">
        <f t="shared" ref="N194" si="96">G194*F194</f>
        <v>358.78877999999997</v>
      </c>
      <c r="O194" s="170">
        <f t="shared" ref="O194" si="97">H194*F194</f>
        <v>1435.1551199999999</v>
      </c>
      <c r="P194" s="240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30" x14ac:dyDescent="0.2">
      <c r="A195" s="9" t="s">
        <v>225</v>
      </c>
      <c r="B195" s="10">
        <v>86889</v>
      </c>
      <c r="C195" s="11" t="s">
        <v>226</v>
      </c>
      <c r="D195" s="412" t="s">
        <v>227</v>
      </c>
      <c r="E195" s="13" t="s">
        <v>31</v>
      </c>
      <c r="F195" s="10">
        <v>1</v>
      </c>
      <c r="G195" s="147">
        <f>I195*0.2</f>
        <v>163.97000000000003</v>
      </c>
      <c r="H195" s="147">
        <f>I195*0.8</f>
        <v>655.88000000000011</v>
      </c>
      <c r="I195" s="14">
        <v>819.85</v>
      </c>
      <c r="J195" s="14">
        <f t="shared" si="73"/>
        <v>1057.5245150000001</v>
      </c>
      <c r="K195" s="15">
        <f t="shared" si="81"/>
        <v>1057.5245150000001</v>
      </c>
      <c r="L195" s="2"/>
      <c r="M195" s="16"/>
      <c r="N195" s="16">
        <f t="shared" si="0"/>
        <v>163.97000000000003</v>
      </c>
      <c r="O195" s="16">
        <f t="shared" si="1"/>
        <v>655.88000000000011</v>
      </c>
      <c r="P195" s="240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30" x14ac:dyDescent="0.2">
      <c r="A196" s="17" t="s">
        <v>228</v>
      </c>
      <c r="B196" s="18">
        <v>86909</v>
      </c>
      <c r="C196" s="19" t="s">
        <v>229</v>
      </c>
      <c r="D196" s="413"/>
      <c r="E196" s="20" t="s">
        <v>31</v>
      </c>
      <c r="F196" s="18">
        <v>1</v>
      </c>
      <c r="G196" s="147">
        <f>I196*0.2</f>
        <v>30.772000000000006</v>
      </c>
      <c r="H196" s="147">
        <f>I196*0.8</f>
        <v>123.08800000000002</v>
      </c>
      <c r="I196" s="21">
        <v>153.86000000000001</v>
      </c>
      <c r="J196" s="14">
        <f t="shared" si="73"/>
        <v>198.46401400000002</v>
      </c>
      <c r="K196" s="15">
        <f t="shared" si="81"/>
        <v>198.46401400000002</v>
      </c>
      <c r="L196" s="2"/>
      <c r="M196" s="16"/>
      <c r="N196" s="16">
        <f t="shared" si="0"/>
        <v>30.772000000000006</v>
      </c>
      <c r="O196" s="16">
        <f t="shared" si="1"/>
        <v>123.08800000000002</v>
      </c>
      <c r="P196" s="240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45" x14ac:dyDescent="0.2">
      <c r="A197" s="17" t="s">
        <v>230</v>
      </c>
      <c r="B197" s="18">
        <v>86935</v>
      </c>
      <c r="C197" s="19" t="s">
        <v>231</v>
      </c>
      <c r="D197" s="409"/>
      <c r="E197" s="20" t="s">
        <v>31</v>
      </c>
      <c r="F197" s="18">
        <v>1</v>
      </c>
      <c r="G197" s="147">
        <f>I197*0.2</f>
        <v>51.220000000000006</v>
      </c>
      <c r="H197" s="147">
        <f>I197*0.8</f>
        <v>204.88000000000002</v>
      </c>
      <c r="I197" s="21">
        <v>256.10000000000002</v>
      </c>
      <c r="J197" s="14">
        <f t="shared" si="73"/>
        <v>330.34339000000006</v>
      </c>
      <c r="K197" s="15">
        <f t="shared" si="81"/>
        <v>330.34339000000006</v>
      </c>
      <c r="L197" s="2"/>
      <c r="M197" s="16"/>
      <c r="N197" s="16">
        <f t="shared" si="0"/>
        <v>51.220000000000006</v>
      </c>
      <c r="O197" s="16">
        <f t="shared" si="1"/>
        <v>204.88000000000002</v>
      </c>
      <c r="P197" s="240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8.75" x14ac:dyDescent="0.2">
      <c r="A198" s="350" t="s">
        <v>232</v>
      </c>
      <c r="B198" s="351"/>
      <c r="C198" s="351"/>
      <c r="D198" s="352"/>
      <c r="E198" s="54"/>
      <c r="F198" s="54"/>
      <c r="G198" s="54"/>
      <c r="H198" s="54"/>
      <c r="I198" s="55"/>
      <c r="J198" s="55"/>
      <c r="K198" s="56">
        <f>SUM(K199:K220)</f>
        <v>22921.45708611</v>
      </c>
      <c r="L198" s="2"/>
      <c r="M198" s="2"/>
      <c r="N198" s="16">
        <f t="shared" si="0"/>
        <v>0</v>
      </c>
      <c r="O198" s="16">
        <f t="shared" si="1"/>
        <v>0</v>
      </c>
      <c r="P198" s="240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s="190" customFormat="1" x14ac:dyDescent="0.2">
      <c r="A199" s="179" t="s">
        <v>406</v>
      </c>
      <c r="B199" s="144">
        <v>99814</v>
      </c>
      <c r="C199" s="145" t="s">
        <v>388</v>
      </c>
      <c r="D199" s="173" t="s">
        <v>389</v>
      </c>
      <c r="E199" s="147" t="s">
        <v>16</v>
      </c>
      <c r="F199" s="146">
        <f>F206+F210+F212</f>
        <v>100.4</v>
      </c>
      <c r="G199" s="27">
        <f>I199*0.8</f>
        <v>1.4640000000000002</v>
      </c>
      <c r="H199" s="27">
        <f>I199*0.2</f>
        <v>0.36600000000000005</v>
      </c>
      <c r="I199" s="147">
        <v>1.83</v>
      </c>
      <c r="J199" s="14">
        <f t="shared" si="73"/>
        <v>2.3605170000000002</v>
      </c>
      <c r="K199" s="15">
        <f t="shared" ref="K199" si="98">J199*F199</f>
        <v>236.99590680000003</v>
      </c>
      <c r="L199" s="188"/>
      <c r="M199" s="189"/>
      <c r="N199" s="189">
        <f t="shared" ref="N199" si="99">G199*F199</f>
        <v>146.98560000000003</v>
      </c>
      <c r="O199" s="189">
        <f t="shared" ref="O199" si="100">H199*F199</f>
        <v>36.746400000000008</v>
      </c>
      <c r="P199" s="240"/>
      <c r="Q199" s="2"/>
      <c r="R199" s="188"/>
      <c r="S199" s="188"/>
      <c r="T199" s="188"/>
      <c r="U199" s="188"/>
      <c r="V199" s="188"/>
      <c r="W199" s="188"/>
      <c r="X199" s="188"/>
      <c r="Y199" s="188"/>
      <c r="Z199" s="188"/>
      <c r="AA199" s="188"/>
      <c r="AB199" s="188"/>
      <c r="AC199" s="188"/>
    </row>
    <row r="200" spans="1:29" ht="60" x14ac:dyDescent="0.2">
      <c r="A200" s="17" t="s">
        <v>233</v>
      </c>
      <c r="B200" s="48" t="s">
        <v>136</v>
      </c>
      <c r="C200" s="19" t="s">
        <v>139</v>
      </c>
      <c r="D200" s="404" t="s">
        <v>614</v>
      </c>
      <c r="E200" s="20" t="s">
        <v>47</v>
      </c>
      <c r="F200" s="18">
        <v>12.4</v>
      </c>
      <c r="G200" s="147">
        <f t="shared" ref="G200:G213" si="101">I200*0.4</f>
        <v>13.684000000000001</v>
      </c>
      <c r="H200" s="147">
        <f t="shared" ref="H200:H213" si="102">I200*0.6</f>
        <v>20.526</v>
      </c>
      <c r="I200" s="21">
        <f>24.21+10</f>
        <v>34.21</v>
      </c>
      <c r="J200" s="14">
        <f t="shared" si="73"/>
        <v>44.127479000000001</v>
      </c>
      <c r="K200" s="15">
        <f t="shared" ref="K200:K220" si="103">J200*F200</f>
        <v>547.18073960000004</v>
      </c>
      <c r="L200" s="2"/>
      <c r="M200" s="16"/>
      <c r="N200" s="16">
        <f t="shared" si="0"/>
        <v>169.68160000000003</v>
      </c>
      <c r="O200" s="16">
        <f t="shared" si="1"/>
        <v>254.5224</v>
      </c>
      <c r="P200" s="240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45" x14ac:dyDescent="0.2">
      <c r="A201" s="17" t="s">
        <v>234</v>
      </c>
      <c r="B201" s="18">
        <v>89482</v>
      </c>
      <c r="C201" s="19" t="s">
        <v>138</v>
      </c>
      <c r="D201" s="400"/>
      <c r="E201" s="20" t="s">
        <v>31</v>
      </c>
      <c r="F201" s="39">
        <v>1</v>
      </c>
      <c r="G201" s="147">
        <f t="shared" si="101"/>
        <v>16.047999999999998</v>
      </c>
      <c r="H201" s="147">
        <f t="shared" si="102"/>
        <v>24.071999999999999</v>
      </c>
      <c r="I201" s="21">
        <v>40.119999999999997</v>
      </c>
      <c r="J201" s="14">
        <f t="shared" si="73"/>
        <v>51.750788</v>
      </c>
      <c r="K201" s="15">
        <f t="shared" si="103"/>
        <v>51.750788</v>
      </c>
      <c r="L201" s="2"/>
      <c r="M201" s="16"/>
      <c r="N201" s="16">
        <f t="shared" si="0"/>
        <v>16.047999999999998</v>
      </c>
      <c r="O201" s="16">
        <f t="shared" si="1"/>
        <v>24.071999999999999</v>
      </c>
      <c r="P201" s="240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s="248" customFormat="1" ht="30" x14ac:dyDescent="0.2">
      <c r="A202" s="17" t="s">
        <v>977</v>
      </c>
      <c r="B202" s="18" t="s">
        <v>978</v>
      </c>
      <c r="C202" s="19" t="s">
        <v>979</v>
      </c>
      <c r="D202" s="401"/>
      <c r="E202" s="20" t="s">
        <v>31</v>
      </c>
      <c r="F202" s="39">
        <v>1</v>
      </c>
      <c r="G202" s="147">
        <f t="shared" si="101"/>
        <v>158.62400000000002</v>
      </c>
      <c r="H202" s="147">
        <f t="shared" si="102"/>
        <v>237.93599999999998</v>
      </c>
      <c r="I202" s="21">
        <v>396.56</v>
      </c>
      <c r="J202" s="14">
        <f t="shared" si="73"/>
        <v>511.52274400000005</v>
      </c>
      <c r="K202" s="15">
        <f t="shared" si="103"/>
        <v>511.52274400000005</v>
      </c>
      <c r="L202" s="2"/>
      <c r="M202" s="249"/>
      <c r="N202" s="249">
        <f t="shared" ref="N202" si="104">G202*F202</f>
        <v>158.62400000000002</v>
      </c>
      <c r="O202" s="249">
        <f t="shared" ref="O202" si="105">H202*F202</f>
        <v>237.93599999999998</v>
      </c>
      <c r="P202" s="240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45" x14ac:dyDescent="0.2">
      <c r="A203" s="24" t="s">
        <v>235</v>
      </c>
      <c r="B203" s="25">
        <v>94995</v>
      </c>
      <c r="C203" s="26" t="s">
        <v>90</v>
      </c>
      <c r="D203" s="26" t="s">
        <v>611</v>
      </c>
      <c r="E203" s="27" t="s">
        <v>16</v>
      </c>
      <c r="F203" s="25">
        <v>3</v>
      </c>
      <c r="G203" s="147">
        <f t="shared" si="101"/>
        <v>36.660000000000004</v>
      </c>
      <c r="H203" s="147">
        <f t="shared" si="102"/>
        <v>54.99</v>
      </c>
      <c r="I203" s="28">
        <v>91.65</v>
      </c>
      <c r="J203" s="14">
        <f t="shared" si="73"/>
        <v>118.21933500000002</v>
      </c>
      <c r="K203" s="15">
        <f t="shared" si="103"/>
        <v>354.65800500000006</v>
      </c>
      <c r="L203" s="2"/>
      <c r="M203" s="2"/>
      <c r="N203" s="16">
        <f t="shared" si="0"/>
        <v>109.98000000000002</v>
      </c>
      <c r="O203" s="16">
        <f t="shared" si="1"/>
        <v>164.97</v>
      </c>
      <c r="P203" s="240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60" x14ac:dyDescent="0.2">
      <c r="A204" s="9" t="s">
        <v>236</v>
      </c>
      <c r="B204" s="43" t="s">
        <v>136</v>
      </c>
      <c r="C204" s="11" t="s">
        <v>150</v>
      </c>
      <c r="D204" s="404" t="s">
        <v>192</v>
      </c>
      <c r="E204" s="13" t="s">
        <v>47</v>
      </c>
      <c r="F204" s="38">
        <v>7.3</v>
      </c>
      <c r="G204" s="147">
        <f t="shared" si="101"/>
        <v>13.316000000000001</v>
      </c>
      <c r="H204" s="147">
        <f t="shared" si="102"/>
        <v>19.974</v>
      </c>
      <c r="I204" s="14">
        <f>23.29+10</f>
        <v>33.29</v>
      </c>
      <c r="J204" s="14">
        <f t="shared" si="73"/>
        <v>42.940770999999998</v>
      </c>
      <c r="K204" s="15">
        <f t="shared" si="103"/>
        <v>313.4676283</v>
      </c>
      <c r="L204" s="2"/>
      <c r="M204" s="16"/>
      <c r="N204" s="16">
        <f t="shared" si="0"/>
        <v>97.206800000000001</v>
      </c>
      <c r="O204" s="16">
        <f t="shared" si="1"/>
        <v>145.81020000000001</v>
      </c>
      <c r="P204" s="240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30" x14ac:dyDescent="0.2">
      <c r="A205" s="23" t="s">
        <v>237</v>
      </c>
      <c r="B205" s="33">
        <v>89351</v>
      </c>
      <c r="C205" s="34" t="s">
        <v>154</v>
      </c>
      <c r="D205" s="408"/>
      <c r="E205" s="35" t="s">
        <v>31</v>
      </c>
      <c r="F205" s="40">
        <v>1</v>
      </c>
      <c r="G205" s="147">
        <f t="shared" si="101"/>
        <v>13.02</v>
      </c>
      <c r="H205" s="147">
        <f t="shared" si="102"/>
        <v>19.529999999999998</v>
      </c>
      <c r="I205" s="36">
        <v>32.549999999999997</v>
      </c>
      <c r="J205" s="14">
        <f t="shared" si="73"/>
        <v>41.986244999999997</v>
      </c>
      <c r="K205" s="15">
        <f t="shared" si="103"/>
        <v>41.986244999999997</v>
      </c>
      <c r="L205" s="2"/>
      <c r="M205" s="16"/>
      <c r="N205" s="16">
        <f t="shared" si="0"/>
        <v>13.02</v>
      </c>
      <c r="O205" s="16">
        <f t="shared" si="1"/>
        <v>19.529999999999998</v>
      </c>
      <c r="P205" s="240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s="190" customFormat="1" ht="60" x14ac:dyDescent="0.2">
      <c r="A206" s="185" t="s">
        <v>238</v>
      </c>
      <c r="B206" s="180">
        <v>87630</v>
      </c>
      <c r="C206" s="173" t="s">
        <v>283</v>
      </c>
      <c r="D206" s="402" t="s">
        <v>412</v>
      </c>
      <c r="E206" s="150" t="s">
        <v>16</v>
      </c>
      <c r="F206" s="181">
        <v>18.2</v>
      </c>
      <c r="G206" s="147">
        <f t="shared" si="101"/>
        <v>17.336000000000002</v>
      </c>
      <c r="H206" s="147">
        <f t="shared" si="102"/>
        <v>26.004000000000001</v>
      </c>
      <c r="I206" s="182">
        <v>43.34</v>
      </c>
      <c r="J206" s="14">
        <f t="shared" si="73"/>
        <v>55.904266000000007</v>
      </c>
      <c r="K206" s="15">
        <f t="shared" si="103"/>
        <v>1017.4576412000001</v>
      </c>
      <c r="L206" s="188"/>
      <c r="M206" s="189"/>
      <c r="N206" s="189">
        <f t="shared" si="0"/>
        <v>315.51520000000005</v>
      </c>
      <c r="O206" s="189">
        <f t="shared" si="1"/>
        <v>473.27280000000002</v>
      </c>
      <c r="P206" s="240"/>
      <c r="Q206" s="2"/>
      <c r="R206" s="188"/>
      <c r="S206" s="188"/>
      <c r="T206" s="188"/>
      <c r="U206" s="188"/>
      <c r="V206" s="188"/>
      <c r="W206" s="188"/>
      <c r="X206" s="188"/>
      <c r="Y206" s="188"/>
      <c r="Z206" s="188"/>
      <c r="AA206" s="188"/>
      <c r="AB206" s="188"/>
      <c r="AC206" s="188"/>
    </row>
    <row r="207" spans="1:29" s="190" customFormat="1" ht="45" x14ac:dyDescent="0.2">
      <c r="A207" s="185" t="s">
        <v>413</v>
      </c>
      <c r="B207" s="183" t="s">
        <v>401</v>
      </c>
      <c r="C207" s="173" t="s">
        <v>402</v>
      </c>
      <c r="D207" s="403"/>
      <c r="E207" s="150" t="s">
        <v>16</v>
      </c>
      <c r="F207" s="181">
        <v>18.2</v>
      </c>
      <c r="G207" s="147">
        <f t="shared" si="101"/>
        <v>22.172000000000001</v>
      </c>
      <c r="H207" s="147">
        <f t="shared" si="102"/>
        <v>33.257999999999996</v>
      </c>
      <c r="I207" s="182">
        <v>55.43</v>
      </c>
      <c r="J207" s="14">
        <f t="shared" si="73"/>
        <v>71.499156999999997</v>
      </c>
      <c r="K207" s="15">
        <f t="shared" si="103"/>
        <v>1301.2846573999998</v>
      </c>
      <c r="L207" s="188"/>
      <c r="M207" s="189"/>
      <c r="N207" s="189">
        <f t="shared" si="0"/>
        <v>403.53039999999999</v>
      </c>
      <c r="O207" s="189">
        <f t="shared" si="1"/>
        <v>605.29559999999992</v>
      </c>
      <c r="P207" s="240"/>
      <c r="Q207" s="2"/>
      <c r="R207" s="188"/>
      <c r="S207" s="188"/>
      <c r="T207" s="188"/>
      <c r="U207" s="188"/>
      <c r="V207" s="188"/>
      <c r="W207" s="188"/>
      <c r="X207" s="188"/>
      <c r="Y207" s="188"/>
      <c r="Z207" s="188"/>
      <c r="AA207" s="188"/>
      <c r="AB207" s="188"/>
      <c r="AC207" s="188"/>
    </row>
    <row r="208" spans="1:29" s="190" customFormat="1" ht="45" x14ac:dyDescent="0.2">
      <c r="A208" s="166" t="s">
        <v>239</v>
      </c>
      <c r="B208" s="180" t="s">
        <v>965</v>
      </c>
      <c r="C208" s="153" t="s">
        <v>498</v>
      </c>
      <c r="D208" s="402" t="s">
        <v>964</v>
      </c>
      <c r="E208" s="155" t="s">
        <v>16</v>
      </c>
      <c r="F208" s="156">
        <v>0.75</v>
      </c>
      <c r="G208" s="147">
        <f t="shared" si="101"/>
        <v>8.7880000000000003</v>
      </c>
      <c r="H208" s="147">
        <f t="shared" si="102"/>
        <v>13.181999999999999</v>
      </c>
      <c r="I208" s="155">
        <v>21.97</v>
      </c>
      <c r="J208" s="14">
        <f t="shared" si="73"/>
        <v>28.339102999999998</v>
      </c>
      <c r="K208" s="15">
        <f t="shared" si="103"/>
        <v>21.254327249999999</v>
      </c>
      <c r="L208" s="188"/>
      <c r="M208" s="189"/>
      <c r="N208" s="189">
        <f t="shared" ref="N208:N209" si="106">G208*F208</f>
        <v>6.5910000000000002</v>
      </c>
      <c r="O208" s="189">
        <f t="shared" ref="O208:O209" si="107">H208*F208</f>
        <v>9.8864999999999981</v>
      </c>
      <c r="P208" s="240"/>
      <c r="Q208" s="2"/>
      <c r="R208" s="188"/>
      <c r="S208" s="188"/>
      <c r="T208" s="188"/>
      <c r="U208" s="188"/>
      <c r="V208" s="188"/>
      <c r="W208" s="188"/>
      <c r="X208" s="188"/>
      <c r="Y208" s="188"/>
      <c r="Z208" s="188"/>
      <c r="AA208" s="188"/>
      <c r="AB208" s="188"/>
      <c r="AC208" s="188"/>
    </row>
    <row r="209" spans="1:29" s="190" customFormat="1" ht="45" x14ac:dyDescent="0.2">
      <c r="A209" s="166" t="s">
        <v>471</v>
      </c>
      <c r="B209" s="180" t="s">
        <v>812</v>
      </c>
      <c r="C209" s="153" t="s">
        <v>813</v>
      </c>
      <c r="D209" s="403"/>
      <c r="E209" s="155" t="s">
        <v>16</v>
      </c>
      <c r="F209" s="156">
        <v>1.5</v>
      </c>
      <c r="G209" s="147">
        <f t="shared" si="101"/>
        <v>30.552</v>
      </c>
      <c r="H209" s="147">
        <f t="shared" si="102"/>
        <v>45.827999999999996</v>
      </c>
      <c r="I209" s="155">
        <v>76.38</v>
      </c>
      <c r="J209" s="14">
        <f t="shared" si="73"/>
        <v>98.522561999999994</v>
      </c>
      <c r="K209" s="15">
        <f t="shared" si="103"/>
        <v>147.78384299999999</v>
      </c>
      <c r="L209" s="188"/>
      <c r="M209" s="189"/>
      <c r="N209" s="189">
        <f t="shared" si="106"/>
        <v>45.828000000000003</v>
      </c>
      <c r="O209" s="189">
        <f t="shared" si="107"/>
        <v>68.74199999999999</v>
      </c>
      <c r="P209" s="240"/>
      <c r="Q209" s="2"/>
      <c r="R209" s="188"/>
      <c r="S209" s="188"/>
      <c r="T209" s="188"/>
      <c r="U209" s="188"/>
      <c r="V209" s="188"/>
      <c r="W209" s="188"/>
      <c r="X209" s="188"/>
      <c r="Y209" s="188"/>
      <c r="Z209" s="188"/>
      <c r="AA209" s="188"/>
      <c r="AB209" s="188"/>
      <c r="AC209" s="188"/>
    </row>
    <row r="210" spans="1:29" s="190" customFormat="1" ht="60" x14ac:dyDescent="0.2">
      <c r="A210" s="166" t="s">
        <v>962</v>
      </c>
      <c r="B210" s="191" t="s">
        <v>456</v>
      </c>
      <c r="C210" s="153" t="s">
        <v>484</v>
      </c>
      <c r="D210" s="402" t="s">
        <v>961</v>
      </c>
      <c r="E210" s="155" t="s">
        <v>16</v>
      </c>
      <c r="F210" s="156">
        <v>64</v>
      </c>
      <c r="G210" s="147">
        <f t="shared" si="101"/>
        <v>8.7880000000000003</v>
      </c>
      <c r="H210" s="147">
        <f t="shared" si="102"/>
        <v>13.181999999999999</v>
      </c>
      <c r="I210" s="155">
        <v>21.97</v>
      </c>
      <c r="J210" s="14">
        <f t="shared" si="73"/>
        <v>28.339102999999998</v>
      </c>
      <c r="K210" s="15">
        <f t="shared" si="103"/>
        <v>1813.7025919999999</v>
      </c>
      <c r="L210" s="188"/>
      <c r="M210" s="189"/>
      <c r="N210" s="189">
        <f t="shared" si="0"/>
        <v>562.43200000000002</v>
      </c>
      <c r="O210" s="189">
        <f t="shared" si="1"/>
        <v>843.64799999999991</v>
      </c>
      <c r="P210" s="240"/>
      <c r="Q210" s="2"/>
      <c r="R210" s="188"/>
      <c r="S210" s="188"/>
      <c r="T210" s="188"/>
      <c r="U210" s="188"/>
      <c r="V210" s="188"/>
      <c r="W210" s="188"/>
      <c r="X210" s="188"/>
      <c r="Y210" s="188"/>
      <c r="Z210" s="188"/>
      <c r="AA210" s="188"/>
      <c r="AB210" s="188"/>
      <c r="AC210" s="188"/>
    </row>
    <row r="211" spans="1:29" s="190" customFormat="1" ht="45" x14ac:dyDescent="0.2">
      <c r="A211" s="166" t="s">
        <v>963</v>
      </c>
      <c r="B211" s="152" t="s">
        <v>621</v>
      </c>
      <c r="C211" s="153" t="s">
        <v>622</v>
      </c>
      <c r="D211" s="403"/>
      <c r="E211" s="155" t="s">
        <v>16</v>
      </c>
      <c r="F211" s="156">
        <v>64</v>
      </c>
      <c r="G211" s="147">
        <f t="shared" si="101"/>
        <v>30.552</v>
      </c>
      <c r="H211" s="147">
        <f t="shared" si="102"/>
        <v>45.827999999999996</v>
      </c>
      <c r="I211" s="155">
        <v>76.38</v>
      </c>
      <c r="J211" s="14">
        <f t="shared" si="73"/>
        <v>98.522561999999994</v>
      </c>
      <c r="K211" s="15">
        <f t="shared" si="103"/>
        <v>6305.4439679999996</v>
      </c>
      <c r="L211" s="188"/>
      <c r="M211" s="189"/>
      <c r="N211" s="189">
        <f t="shared" ref="N211" si="108">G211*F211</f>
        <v>1955.328</v>
      </c>
      <c r="O211" s="189">
        <f t="shared" ref="O211" si="109">H211*F211</f>
        <v>2932.9919999999997</v>
      </c>
      <c r="P211" s="240"/>
      <c r="Q211" s="2"/>
      <c r="R211" s="188"/>
      <c r="S211" s="188"/>
      <c r="T211" s="188"/>
      <c r="U211" s="188"/>
      <c r="V211" s="188"/>
      <c r="W211" s="188"/>
      <c r="X211" s="188"/>
      <c r="Y211" s="188"/>
      <c r="Z211" s="188"/>
      <c r="AA211" s="188"/>
      <c r="AB211" s="188"/>
      <c r="AC211" s="188"/>
    </row>
    <row r="212" spans="1:29" ht="30" x14ac:dyDescent="0.2">
      <c r="A212" s="17" t="s">
        <v>240</v>
      </c>
      <c r="B212" s="18" t="s">
        <v>966</v>
      </c>
      <c r="C212" s="19" t="s">
        <v>967</v>
      </c>
      <c r="D212" s="410" t="s">
        <v>968</v>
      </c>
      <c r="E212" s="20" t="s">
        <v>16</v>
      </c>
      <c r="F212" s="39">
        <v>18.2</v>
      </c>
      <c r="G212" s="147">
        <f t="shared" si="101"/>
        <v>29.436000000000003</v>
      </c>
      <c r="H212" s="147">
        <f t="shared" si="102"/>
        <v>44.154000000000003</v>
      </c>
      <c r="I212" s="21">
        <v>73.59</v>
      </c>
      <c r="J212" s="14">
        <f t="shared" si="73"/>
        <v>94.923741000000007</v>
      </c>
      <c r="K212" s="15">
        <f t="shared" si="103"/>
        <v>1727.6120862</v>
      </c>
      <c r="L212" s="2"/>
      <c r="M212" s="2"/>
      <c r="N212" s="16">
        <f t="shared" si="0"/>
        <v>535.73520000000008</v>
      </c>
      <c r="O212" s="16">
        <f t="shared" si="1"/>
        <v>803.6028</v>
      </c>
      <c r="P212" s="240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30" x14ac:dyDescent="0.2">
      <c r="A213" s="23" t="s">
        <v>241</v>
      </c>
      <c r="B213" s="33">
        <v>96121</v>
      </c>
      <c r="C213" s="34" t="s">
        <v>222</v>
      </c>
      <c r="D213" s="408"/>
      <c r="E213" s="35" t="s">
        <v>47</v>
      </c>
      <c r="F213" s="40">
        <v>18.55</v>
      </c>
      <c r="G213" s="147">
        <f t="shared" si="101"/>
        <v>4.8320000000000007</v>
      </c>
      <c r="H213" s="147">
        <f t="shared" si="102"/>
        <v>7.2479999999999993</v>
      </c>
      <c r="I213" s="36">
        <v>12.08</v>
      </c>
      <c r="J213" s="14">
        <f t="shared" si="73"/>
        <v>15.581992000000001</v>
      </c>
      <c r="K213" s="15">
        <f t="shared" si="103"/>
        <v>289.04595160000002</v>
      </c>
      <c r="L213" s="2"/>
      <c r="M213" s="2"/>
      <c r="N213" s="16">
        <f t="shared" si="0"/>
        <v>89.633600000000015</v>
      </c>
      <c r="O213" s="16">
        <f t="shared" si="1"/>
        <v>134.4504</v>
      </c>
      <c r="P213" s="240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45" x14ac:dyDescent="0.2">
      <c r="A214" s="24" t="s">
        <v>242</v>
      </c>
      <c r="B214" s="25">
        <v>91341</v>
      </c>
      <c r="C214" s="26" t="s">
        <v>158</v>
      </c>
      <c r="D214" s="26" t="s">
        <v>624</v>
      </c>
      <c r="E214" s="27" t="s">
        <v>16</v>
      </c>
      <c r="F214" s="41">
        <f>1.9+1.7</f>
        <v>3.5999999999999996</v>
      </c>
      <c r="G214" s="147">
        <f t="shared" ref="G214:G220" si="110">I214*0.2</f>
        <v>184.11400000000003</v>
      </c>
      <c r="H214" s="147">
        <f t="shared" ref="H214:H220" si="111">I214*0.8</f>
        <v>736.45600000000013</v>
      </c>
      <c r="I214" s="28">
        <v>920.57</v>
      </c>
      <c r="J214" s="14">
        <f t="shared" ref="J214:J280" si="112">I214*(1+$K$11)</f>
        <v>1187.4432430000002</v>
      </c>
      <c r="K214" s="15">
        <f t="shared" si="103"/>
        <v>4274.7956748000006</v>
      </c>
      <c r="L214" s="2"/>
      <c r="M214" s="16"/>
      <c r="N214" s="16">
        <f t="shared" si="0"/>
        <v>662.81040000000007</v>
      </c>
      <c r="O214" s="16">
        <f t="shared" si="1"/>
        <v>2651.2416000000003</v>
      </c>
      <c r="P214" s="240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s="204" customFormat="1" ht="60" x14ac:dyDescent="0.2">
      <c r="A215" s="24" t="s">
        <v>625</v>
      </c>
      <c r="B215" s="25" t="s">
        <v>626</v>
      </c>
      <c r="C215" s="26" t="s">
        <v>627</v>
      </c>
      <c r="D215" s="404" t="s">
        <v>628</v>
      </c>
      <c r="E215" s="27" t="s">
        <v>16</v>
      </c>
      <c r="F215" s="41">
        <f>ROUND(1.24*0.9,2)</f>
        <v>1.1200000000000001</v>
      </c>
      <c r="G215" s="147">
        <f t="shared" si="110"/>
        <v>71.688000000000002</v>
      </c>
      <c r="H215" s="147">
        <f t="shared" si="111"/>
        <v>286.75200000000001</v>
      </c>
      <c r="I215" s="28">
        <v>358.44</v>
      </c>
      <c r="J215" s="14">
        <f t="shared" si="112"/>
        <v>462.35175600000002</v>
      </c>
      <c r="K215" s="15">
        <f t="shared" si="103"/>
        <v>517.83396672000003</v>
      </c>
      <c r="L215" s="2"/>
      <c r="M215" s="205"/>
      <c r="N215" s="205">
        <f t="shared" ref="N215" si="113">G215*F215</f>
        <v>80.290560000000013</v>
      </c>
      <c r="O215" s="205">
        <f t="shared" ref="O215" si="114">H215*F215</f>
        <v>321.16224000000005</v>
      </c>
      <c r="P215" s="240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s="391" customFormat="1" ht="45" x14ac:dyDescent="0.2">
      <c r="A216" s="24" t="s">
        <v>1205</v>
      </c>
      <c r="B216" s="25" t="s">
        <v>1206</v>
      </c>
      <c r="C216" s="26" t="s">
        <v>1207</v>
      </c>
      <c r="D216" s="401"/>
      <c r="E216" s="27" t="s">
        <v>47</v>
      </c>
      <c r="F216" s="41">
        <v>1.24</v>
      </c>
      <c r="G216" s="147">
        <f t="shared" ref="G216" si="115">I216*0.2</f>
        <v>32.648000000000003</v>
      </c>
      <c r="H216" s="147">
        <f t="shared" ref="H216" si="116">I216*0.8</f>
        <v>130.59200000000001</v>
      </c>
      <c r="I216" s="28">
        <v>163.24</v>
      </c>
      <c r="J216" s="14">
        <f t="shared" ref="J216" si="117">I216*(1+$K$11)</f>
        <v>210.56327600000003</v>
      </c>
      <c r="K216" s="15">
        <f t="shared" ref="K216" si="118">J216*F216</f>
        <v>261.09846224000006</v>
      </c>
      <c r="L216" s="2"/>
      <c r="M216" s="390"/>
      <c r="N216" s="390">
        <f t="shared" ref="N216" si="119">G216*F216</f>
        <v>40.483520000000006</v>
      </c>
      <c r="O216" s="390">
        <f t="shared" ref="O216" si="120">H216*F216</f>
        <v>161.93408000000002</v>
      </c>
      <c r="P216" s="240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30" x14ac:dyDescent="0.2">
      <c r="A217" s="9" t="s">
        <v>243</v>
      </c>
      <c r="B217" s="10">
        <v>86889</v>
      </c>
      <c r="C217" s="11" t="s">
        <v>226</v>
      </c>
      <c r="D217" s="412" t="s">
        <v>227</v>
      </c>
      <c r="E217" s="13" t="s">
        <v>31</v>
      </c>
      <c r="F217" s="38">
        <v>2</v>
      </c>
      <c r="G217" s="147">
        <f t="shared" si="110"/>
        <v>163.97000000000003</v>
      </c>
      <c r="H217" s="147">
        <f t="shared" si="111"/>
        <v>655.88000000000011</v>
      </c>
      <c r="I217" s="14">
        <v>819.85</v>
      </c>
      <c r="J217" s="14">
        <f t="shared" si="112"/>
        <v>1057.5245150000001</v>
      </c>
      <c r="K217" s="15">
        <f t="shared" si="103"/>
        <v>2115.0490300000001</v>
      </c>
      <c r="L217" s="2"/>
      <c r="M217" s="16"/>
      <c r="N217" s="16">
        <f t="shared" si="0"/>
        <v>327.94000000000005</v>
      </c>
      <c r="O217" s="16">
        <f t="shared" si="1"/>
        <v>1311.7600000000002</v>
      </c>
      <c r="P217" s="240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45" x14ac:dyDescent="0.2">
      <c r="A218" s="17" t="s">
        <v>244</v>
      </c>
      <c r="B218" s="18" t="s">
        <v>667</v>
      </c>
      <c r="C218" s="19" t="s">
        <v>668</v>
      </c>
      <c r="D218" s="413"/>
      <c r="E218" s="20" t="s">
        <v>31</v>
      </c>
      <c r="F218" s="39">
        <v>1</v>
      </c>
      <c r="G218" s="147">
        <f t="shared" si="110"/>
        <v>30.330000000000002</v>
      </c>
      <c r="H218" s="147">
        <f t="shared" si="111"/>
        <v>121.32000000000001</v>
      </c>
      <c r="I218" s="21">
        <v>151.65</v>
      </c>
      <c r="J218" s="14">
        <f t="shared" si="112"/>
        <v>195.61333500000001</v>
      </c>
      <c r="K218" s="15">
        <f t="shared" si="103"/>
        <v>195.61333500000001</v>
      </c>
      <c r="L218" s="2"/>
      <c r="M218" s="16"/>
      <c r="N218" s="16">
        <f t="shared" si="0"/>
        <v>30.330000000000002</v>
      </c>
      <c r="O218" s="16">
        <f t="shared" si="1"/>
        <v>121.32000000000001</v>
      </c>
      <c r="P218" s="240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s="210" customFormat="1" ht="30" x14ac:dyDescent="0.2">
      <c r="A219" s="17" t="s">
        <v>245</v>
      </c>
      <c r="B219" s="18" t="s">
        <v>670</v>
      </c>
      <c r="C219" s="19" t="s">
        <v>671</v>
      </c>
      <c r="D219" s="413"/>
      <c r="E219" s="20" t="s">
        <v>31</v>
      </c>
      <c r="F219" s="39">
        <v>1</v>
      </c>
      <c r="G219" s="147">
        <f t="shared" si="110"/>
        <v>33.372000000000007</v>
      </c>
      <c r="H219" s="147">
        <f t="shared" si="111"/>
        <v>133.48800000000003</v>
      </c>
      <c r="I219" s="21">
        <v>166.86</v>
      </c>
      <c r="J219" s="14">
        <f t="shared" si="112"/>
        <v>215.23271400000002</v>
      </c>
      <c r="K219" s="15">
        <f t="shared" si="103"/>
        <v>215.23271400000002</v>
      </c>
      <c r="L219" s="2"/>
      <c r="M219" s="211"/>
      <c r="N219" s="211">
        <f t="shared" ref="N219" si="121">G219*F219</f>
        <v>33.372000000000007</v>
      </c>
      <c r="O219" s="211">
        <f t="shared" ref="O219" si="122">H219*F219</f>
        <v>133.48800000000003</v>
      </c>
      <c r="P219" s="240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45" x14ac:dyDescent="0.2">
      <c r="A220" s="17" t="s">
        <v>669</v>
      </c>
      <c r="B220" s="18">
        <v>86935</v>
      </c>
      <c r="C220" s="19" t="s">
        <v>231</v>
      </c>
      <c r="D220" s="409"/>
      <c r="E220" s="20" t="s">
        <v>31</v>
      </c>
      <c r="F220" s="39">
        <v>2</v>
      </c>
      <c r="G220" s="147">
        <f t="shared" si="110"/>
        <v>51.220000000000006</v>
      </c>
      <c r="H220" s="147">
        <f t="shared" si="111"/>
        <v>204.88000000000002</v>
      </c>
      <c r="I220" s="21">
        <v>256.10000000000002</v>
      </c>
      <c r="J220" s="14">
        <f t="shared" si="112"/>
        <v>330.34339000000006</v>
      </c>
      <c r="K220" s="15">
        <f t="shared" si="103"/>
        <v>660.68678000000011</v>
      </c>
      <c r="L220" s="2"/>
      <c r="M220" s="16"/>
      <c r="N220" s="16">
        <f t="shared" si="0"/>
        <v>102.44000000000001</v>
      </c>
      <c r="O220" s="16">
        <f t="shared" si="1"/>
        <v>409.76000000000005</v>
      </c>
      <c r="P220" s="240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8.75" x14ac:dyDescent="0.2">
      <c r="A221" s="350" t="s">
        <v>246</v>
      </c>
      <c r="B221" s="351"/>
      <c r="C221" s="351"/>
      <c r="D221" s="352"/>
      <c r="E221" s="54"/>
      <c r="F221" s="54"/>
      <c r="G221" s="54"/>
      <c r="H221" s="54"/>
      <c r="I221" s="55"/>
      <c r="J221" s="55"/>
      <c r="K221" s="56">
        <f>SUM(K222:K235)</f>
        <v>13152.632779020001</v>
      </c>
      <c r="L221" s="2"/>
      <c r="M221" s="2"/>
      <c r="N221" s="16">
        <f t="shared" si="0"/>
        <v>0</v>
      </c>
      <c r="O221" s="16">
        <f t="shared" si="1"/>
        <v>0</v>
      </c>
      <c r="P221" s="240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s="158" customFormat="1" x14ac:dyDescent="0.2">
      <c r="A222" s="179" t="s">
        <v>387</v>
      </c>
      <c r="B222" s="144">
        <v>99814</v>
      </c>
      <c r="C222" s="145" t="s">
        <v>388</v>
      </c>
      <c r="D222" s="173" t="s">
        <v>389</v>
      </c>
      <c r="E222" s="147" t="s">
        <v>16</v>
      </c>
      <c r="F222" s="146">
        <f>F225+F229+F231+F234</f>
        <v>124.94000000000001</v>
      </c>
      <c r="G222" s="27">
        <f>I222*0.8</f>
        <v>1.4640000000000002</v>
      </c>
      <c r="H222" s="27">
        <f>I222*0.2</f>
        <v>0.36600000000000005</v>
      </c>
      <c r="I222" s="147">
        <v>1.83</v>
      </c>
      <c r="J222" s="14">
        <f t="shared" si="112"/>
        <v>2.3605170000000002</v>
      </c>
      <c r="K222" s="15">
        <f t="shared" ref="K222" si="123">J222*F222</f>
        <v>294.92299398000006</v>
      </c>
      <c r="L222" s="2"/>
      <c r="M222" s="159"/>
      <c r="N222" s="159">
        <f t="shared" ref="N222" si="124">G222*F222</f>
        <v>182.91216000000003</v>
      </c>
      <c r="O222" s="159">
        <f t="shared" ref="O222" si="125">H222*F222</f>
        <v>45.728040000000007</v>
      </c>
      <c r="P222" s="240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45" x14ac:dyDescent="0.2">
      <c r="A223" s="17" t="s">
        <v>247</v>
      </c>
      <c r="B223" s="18">
        <v>87878</v>
      </c>
      <c r="C223" s="19" t="s">
        <v>94</v>
      </c>
      <c r="D223" s="404" t="s">
        <v>629</v>
      </c>
      <c r="E223" s="20" t="s">
        <v>16</v>
      </c>
      <c r="F223" s="39">
        <v>43.7</v>
      </c>
      <c r="G223" s="147">
        <f t="shared" ref="G223:G235" si="126">I223*0.4</f>
        <v>1.984</v>
      </c>
      <c r="H223" s="147">
        <f t="shared" ref="H223:H235" si="127">I223*0.6</f>
        <v>2.976</v>
      </c>
      <c r="I223" s="21">
        <v>4.96</v>
      </c>
      <c r="J223" s="14">
        <f t="shared" si="112"/>
        <v>6.3979040000000005</v>
      </c>
      <c r="K223" s="15">
        <f t="shared" ref="K223:K235" si="128">J223*F223</f>
        <v>279.58840480000003</v>
      </c>
      <c r="L223" s="2"/>
      <c r="M223" s="16"/>
      <c r="N223" s="16">
        <f t="shared" si="0"/>
        <v>86.700800000000001</v>
      </c>
      <c r="O223" s="16">
        <f t="shared" si="1"/>
        <v>130.05119999999999</v>
      </c>
      <c r="P223" s="240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60" x14ac:dyDescent="0.2">
      <c r="A224" s="23" t="s">
        <v>248</v>
      </c>
      <c r="B224" s="33">
        <v>87527</v>
      </c>
      <c r="C224" s="34" t="s">
        <v>95</v>
      </c>
      <c r="D224" s="408"/>
      <c r="E224" s="35" t="s">
        <v>16</v>
      </c>
      <c r="F224" s="40">
        <v>43.7</v>
      </c>
      <c r="G224" s="147">
        <f t="shared" si="126"/>
        <v>15.863999999999999</v>
      </c>
      <c r="H224" s="147">
        <f t="shared" si="127"/>
        <v>23.795999999999996</v>
      </c>
      <c r="I224" s="36">
        <v>39.659999999999997</v>
      </c>
      <c r="J224" s="14">
        <f t="shared" si="112"/>
        <v>51.157433999999995</v>
      </c>
      <c r="K224" s="15">
        <f t="shared" si="128"/>
        <v>2235.5798657999999</v>
      </c>
      <c r="L224" s="2"/>
      <c r="M224" s="16"/>
      <c r="N224" s="16">
        <f t="shared" si="0"/>
        <v>693.2568</v>
      </c>
      <c r="O224" s="16">
        <f t="shared" si="1"/>
        <v>1039.8851999999999</v>
      </c>
      <c r="P224" s="240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s="158" customFormat="1" ht="60" x14ac:dyDescent="0.2">
      <c r="A225" s="185" t="s">
        <v>249</v>
      </c>
      <c r="B225" s="180">
        <v>87630</v>
      </c>
      <c r="C225" s="173" t="s">
        <v>283</v>
      </c>
      <c r="D225" s="402" t="s">
        <v>412</v>
      </c>
      <c r="E225" s="150" t="s">
        <v>16</v>
      </c>
      <c r="F225" s="181">
        <v>14.52</v>
      </c>
      <c r="G225" s="147">
        <f t="shared" si="126"/>
        <v>17.336000000000002</v>
      </c>
      <c r="H225" s="147">
        <f t="shared" si="127"/>
        <v>26.004000000000001</v>
      </c>
      <c r="I225" s="182">
        <v>43.34</v>
      </c>
      <c r="J225" s="14">
        <f t="shared" si="112"/>
        <v>55.904266000000007</v>
      </c>
      <c r="K225" s="15">
        <f t="shared" si="128"/>
        <v>811.72994232000008</v>
      </c>
      <c r="L225" s="2"/>
      <c r="M225" s="159"/>
      <c r="N225" s="159">
        <f t="shared" ref="N225:N226" si="129">G225*F225</f>
        <v>251.71872000000002</v>
      </c>
      <c r="O225" s="159">
        <f t="shared" ref="O225:O226" si="130">H225*F225</f>
        <v>377.57808</v>
      </c>
      <c r="P225" s="240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s="158" customFormat="1" ht="45" x14ac:dyDescent="0.2">
      <c r="A226" s="185" t="s">
        <v>414</v>
      </c>
      <c r="B226" s="183" t="s">
        <v>401</v>
      </c>
      <c r="C226" s="173" t="s">
        <v>402</v>
      </c>
      <c r="D226" s="403"/>
      <c r="E226" s="150" t="s">
        <v>16</v>
      </c>
      <c r="F226" s="181">
        <v>14.52</v>
      </c>
      <c r="G226" s="147">
        <f t="shared" si="126"/>
        <v>22.172000000000001</v>
      </c>
      <c r="H226" s="147">
        <f t="shared" si="127"/>
        <v>33.257999999999996</v>
      </c>
      <c r="I226" s="182">
        <v>55.43</v>
      </c>
      <c r="J226" s="14">
        <f t="shared" si="112"/>
        <v>71.499156999999997</v>
      </c>
      <c r="K226" s="15">
        <f t="shared" si="128"/>
        <v>1038.16775964</v>
      </c>
      <c r="L226" s="2"/>
      <c r="M226" s="159"/>
      <c r="N226" s="159">
        <f t="shared" si="129"/>
        <v>321.93743999999998</v>
      </c>
      <c r="O226" s="159">
        <f t="shared" si="130"/>
        <v>482.90615999999994</v>
      </c>
      <c r="P226" s="240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30" x14ac:dyDescent="0.2">
      <c r="A227" s="185" t="s">
        <v>250</v>
      </c>
      <c r="B227" s="180">
        <v>88649</v>
      </c>
      <c r="C227" s="173" t="s">
        <v>415</v>
      </c>
      <c r="D227" s="173" t="s">
        <v>417</v>
      </c>
      <c r="E227" s="182" t="s">
        <v>47</v>
      </c>
      <c r="F227" s="181">
        <v>12.7</v>
      </c>
      <c r="G227" s="147">
        <f t="shared" si="126"/>
        <v>2.8440000000000003</v>
      </c>
      <c r="H227" s="147">
        <f t="shared" si="127"/>
        <v>4.266</v>
      </c>
      <c r="I227" s="182">
        <v>7.11</v>
      </c>
      <c r="J227" s="14">
        <f t="shared" si="112"/>
        <v>9.171189</v>
      </c>
      <c r="K227" s="15">
        <f t="shared" si="128"/>
        <v>116.47410029999999</v>
      </c>
      <c r="L227" s="2"/>
      <c r="M227" s="16"/>
      <c r="N227" s="16">
        <f t="shared" si="0"/>
        <v>36.1188</v>
      </c>
      <c r="O227" s="16">
        <f t="shared" si="1"/>
        <v>54.178199999999997</v>
      </c>
      <c r="P227" s="240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45" x14ac:dyDescent="0.2">
      <c r="A228" s="24" t="s">
        <v>251</v>
      </c>
      <c r="B228" s="25">
        <v>91341</v>
      </c>
      <c r="C228" s="26" t="s">
        <v>158</v>
      </c>
      <c r="D228" s="26" t="s">
        <v>159</v>
      </c>
      <c r="E228" s="27" t="s">
        <v>16</v>
      </c>
      <c r="F228" s="41">
        <v>3.36</v>
      </c>
      <c r="G228" s="147">
        <f t="shared" si="126"/>
        <v>368.22800000000007</v>
      </c>
      <c r="H228" s="147">
        <f t="shared" si="127"/>
        <v>552.34199999999998</v>
      </c>
      <c r="I228" s="28">
        <v>920.57</v>
      </c>
      <c r="J228" s="14">
        <f t="shared" si="112"/>
        <v>1187.4432430000002</v>
      </c>
      <c r="K228" s="15">
        <f t="shared" si="128"/>
        <v>3989.8092964800003</v>
      </c>
      <c r="L228" s="2"/>
      <c r="M228" s="16"/>
      <c r="N228" s="16">
        <f t="shared" si="0"/>
        <v>1237.2460800000001</v>
      </c>
      <c r="O228" s="16">
        <f t="shared" si="1"/>
        <v>1855.8691199999998</v>
      </c>
      <c r="P228" s="240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30" x14ac:dyDescent="0.2">
      <c r="A229" s="17" t="s">
        <v>252</v>
      </c>
      <c r="B229" s="144">
        <v>88485</v>
      </c>
      <c r="C229" s="145" t="s">
        <v>383</v>
      </c>
      <c r="D229" s="411" t="s">
        <v>253</v>
      </c>
      <c r="E229" s="147" t="s">
        <v>16</v>
      </c>
      <c r="F229" s="146">
        <v>61.1</v>
      </c>
      <c r="G229" s="147">
        <f t="shared" si="126"/>
        <v>1.4160000000000001</v>
      </c>
      <c r="H229" s="147">
        <f t="shared" si="127"/>
        <v>2.1240000000000001</v>
      </c>
      <c r="I229" s="147">
        <v>3.54</v>
      </c>
      <c r="J229" s="14">
        <f t="shared" si="112"/>
        <v>4.5662460000000005</v>
      </c>
      <c r="K229" s="15">
        <f t="shared" si="128"/>
        <v>278.99763060000004</v>
      </c>
      <c r="L229" s="2"/>
      <c r="M229" s="2"/>
      <c r="N229" s="16">
        <f t="shared" si="0"/>
        <v>86.517600000000016</v>
      </c>
      <c r="O229" s="16">
        <f t="shared" si="1"/>
        <v>129.77640000000002</v>
      </c>
      <c r="P229" s="240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s="158" customFormat="1" ht="30" x14ac:dyDescent="0.2">
      <c r="A230" s="23" t="s">
        <v>254</v>
      </c>
      <c r="B230" s="148">
        <v>88489</v>
      </c>
      <c r="C230" s="187" t="s">
        <v>384</v>
      </c>
      <c r="D230" s="405"/>
      <c r="E230" s="150" t="s">
        <v>16</v>
      </c>
      <c r="F230" s="151">
        <v>43.7</v>
      </c>
      <c r="G230" s="147">
        <f t="shared" si="126"/>
        <v>4.7600000000000007</v>
      </c>
      <c r="H230" s="147">
        <f t="shared" si="127"/>
        <v>7.14</v>
      </c>
      <c r="I230" s="150">
        <v>11.9</v>
      </c>
      <c r="J230" s="14">
        <f t="shared" si="112"/>
        <v>15.349810000000002</v>
      </c>
      <c r="K230" s="15">
        <f t="shared" si="128"/>
        <v>670.78669700000012</v>
      </c>
      <c r="L230" s="2"/>
      <c r="M230" s="2"/>
      <c r="N230" s="159">
        <f t="shared" ref="N230" si="131">G230*F230</f>
        <v>208.01200000000003</v>
      </c>
      <c r="O230" s="159">
        <f t="shared" ref="O230" si="132">H230*F230</f>
        <v>312.01800000000003</v>
      </c>
      <c r="P230" s="240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30" x14ac:dyDescent="0.2">
      <c r="A231" s="23" t="s">
        <v>254</v>
      </c>
      <c r="B231" s="148" t="s">
        <v>385</v>
      </c>
      <c r="C231" s="187" t="s">
        <v>386</v>
      </c>
      <c r="D231" s="408"/>
      <c r="E231" s="150" t="s">
        <v>16</v>
      </c>
      <c r="F231" s="151">
        <f>F229-F230</f>
        <v>17.399999999999999</v>
      </c>
      <c r="G231" s="147">
        <f t="shared" si="126"/>
        <v>5.6760000000000002</v>
      </c>
      <c r="H231" s="147">
        <f t="shared" si="127"/>
        <v>8.5139999999999993</v>
      </c>
      <c r="I231" s="150">
        <v>14.19</v>
      </c>
      <c r="J231" s="14">
        <f t="shared" si="112"/>
        <v>18.303681000000001</v>
      </c>
      <c r="K231" s="15">
        <f t="shared" si="128"/>
        <v>318.4840494</v>
      </c>
      <c r="L231" s="2"/>
      <c r="M231" s="2"/>
      <c r="N231" s="16">
        <f t="shared" si="0"/>
        <v>98.7624</v>
      </c>
      <c r="O231" s="16">
        <f t="shared" si="1"/>
        <v>148.14359999999996</v>
      </c>
      <c r="P231" s="240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">
      <c r="A232" s="184" t="s">
        <v>255</v>
      </c>
      <c r="B232" s="140" t="s">
        <v>566</v>
      </c>
      <c r="C232" s="141" t="s">
        <v>567</v>
      </c>
      <c r="D232" s="427" t="s">
        <v>256</v>
      </c>
      <c r="E232" s="142" t="s">
        <v>16</v>
      </c>
      <c r="F232" s="143">
        <v>2.46</v>
      </c>
      <c r="G232" s="147">
        <f>I232*0.2</f>
        <v>83.01400000000001</v>
      </c>
      <c r="H232" s="147">
        <f>I232*0.8</f>
        <v>332.05600000000004</v>
      </c>
      <c r="I232" s="142">
        <v>415.07</v>
      </c>
      <c r="J232" s="14">
        <f t="shared" si="112"/>
        <v>535.39879299999996</v>
      </c>
      <c r="K232" s="15">
        <f t="shared" si="128"/>
        <v>1317.0810307799998</v>
      </c>
      <c r="L232" s="2"/>
      <c r="M232" s="16"/>
      <c r="N232" s="16">
        <f t="shared" si="0"/>
        <v>204.21444000000002</v>
      </c>
      <c r="O232" s="16">
        <f t="shared" si="1"/>
        <v>816.8577600000001</v>
      </c>
      <c r="P232" s="240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s="158" customFormat="1" ht="30" x14ac:dyDescent="0.2">
      <c r="A233" s="184" t="s">
        <v>397</v>
      </c>
      <c r="B233" s="140">
        <v>100861</v>
      </c>
      <c r="C233" s="141" t="s">
        <v>398</v>
      </c>
      <c r="D233" s="428"/>
      <c r="E233" s="142" t="s">
        <v>31</v>
      </c>
      <c r="F233" s="143">
        <v>6</v>
      </c>
      <c r="G233" s="147">
        <f t="shared" si="126"/>
        <v>17.028000000000002</v>
      </c>
      <c r="H233" s="147">
        <f t="shared" si="127"/>
        <v>25.541999999999998</v>
      </c>
      <c r="I233" s="142">
        <v>42.57</v>
      </c>
      <c r="J233" s="14">
        <f t="shared" si="112"/>
        <v>54.911042999999999</v>
      </c>
      <c r="K233" s="15">
        <f t="shared" si="128"/>
        <v>329.46625799999998</v>
      </c>
      <c r="L233" s="2"/>
      <c r="M233" s="159"/>
      <c r="N233" s="159">
        <f t="shared" ref="N233" si="133">G233*F233</f>
        <v>102.16800000000001</v>
      </c>
      <c r="O233" s="159">
        <f t="shared" ref="O233" si="134">H233*F233</f>
        <v>153.25199999999998</v>
      </c>
      <c r="P233" s="240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s="158" customFormat="1" x14ac:dyDescent="0.2">
      <c r="A234" s="179" t="s">
        <v>392</v>
      </c>
      <c r="B234" s="144">
        <v>100717</v>
      </c>
      <c r="C234" s="145" t="s">
        <v>529</v>
      </c>
      <c r="D234" s="411" t="s">
        <v>390</v>
      </c>
      <c r="E234" s="147" t="s">
        <v>16</v>
      </c>
      <c r="F234" s="146">
        <f>ROUND(2.4*(3.05+2.4+1.2)*2,2)</f>
        <v>31.92</v>
      </c>
      <c r="G234" s="147">
        <f t="shared" si="126"/>
        <v>4.0280000000000005</v>
      </c>
      <c r="H234" s="147">
        <f t="shared" si="127"/>
        <v>6.0419999999999998</v>
      </c>
      <c r="I234" s="147">
        <f>10.07</f>
        <v>10.07</v>
      </c>
      <c r="J234" s="14">
        <f t="shared" si="112"/>
        <v>12.989293</v>
      </c>
      <c r="K234" s="15">
        <f t="shared" si="128"/>
        <v>414.61823256000002</v>
      </c>
      <c r="L234" s="2"/>
      <c r="M234" s="2"/>
      <c r="N234" s="159">
        <f t="shared" ref="N234:N235" si="135">G234*F234</f>
        <v>128.57376000000002</v>
      </c>
      <c r="O234" s="159">
        <f t="shared" ref="O234:O235" si="136">H234*F234</f>
        <v>192.86064000000002</v>
      </c>
      <c r="P234" s="240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s="158" customFormat="1" ht="30" x14ac:dyDescent="0.2">
      <c r="A235" s="186" t="s">
        <v>393</v>
      </c>
      <c r="B235" s="148">
        <v>102227</v>
      </c>
      <c r="C235" s="187" t="s">
        <v>391</v>
      </c>
      <c r="D235" s="405"/>
      <c r="E235" s="150" t="s">
        <v>16</v>
      </c>
      <c r="F235" s="146">
        <f>ROUND(2.4*(3.05+2.4+1.2)*2,2)</f>
        <v>31.92</v>
      </c>
      <c r="G235" s="147">
        <f t="shared" si="126"/>
        <v>10.268000000000001</v>
      </c>
      <c r="H235" s="147">
        <f t="shared" si="127"/>
        <v>15.402000000000001</v>
      </c>
      <c r="I235" s="150">
        <v>25.67</v>
      </c>
      <c r="J235" s="14">
        <f t="shared" si="112"/>
        <v>33.111733000000001</v>
      </c>
      <c r="K235" s="15">
        <f t="shared" si="128"/>
        <v>1056.9265173600002</v>
      </c>
      <c r="L235" s="2"/>
      <c r="M235" s="2"/>
      <c r="N235" s="159">
        <f t="shared" si="135"/>
        <v>327.75456000000003</v>
      </c>
      <c r="O235" s="159">
        <f t="shared" si="136"/>
        <v>491.63184000000007</v>
      </c>
      <c r="P235" s="240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8.75" x14ac:dyDescent="0.2">
      <c r="A236" s="353" t="s">
        <v>257</v>
      </c>
      <c r="B236" s="351"/>
      <c r="C236" s="351"/>
      <c r="D236" s="352"/>
      <c r="E236" s="237"/>
      <c r="F236" s="237"/>
      <c r="G236" s="237"/>
      <c r="H236" s="237"/>
      <c r="I236" s="55"/>
      <c r="J236" s="55"/>
      <c r="K236" s="56">
        <f>SUM(K237:K264)</f>
        <v>41831.373156500013</v>
      </c>
      <c r="L236" s="2"/>
      <c r="M236" s="2"/>
      <c r="N236" s="16">
        <f t="shared" si="0"/>
        <v>0</v>
      </c>
      <c r="O236" s="16">
        <f t="shared" si="1"/>
        <v>0</v>
      </c>
      <c r="P236" s="240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s="158" customFormat="1" x14ac:dyDescent="0.2">
      <c r="A237" s="179" t="s">
        <v>407</v>
      </c>
      <c r="B237" s="144">
        <v>99814</v>
      </c>
      <c r="C237" s="145" t="s">
        <v>388</v>
      </c>
      <c r="D237" s="402" t="s">
        <v>452</v>
      </c>
      <c r="E237" s="147" t="s">
        <v>16</v>
      </c>
      <c r="F237" s="146">
        <f>110+F241*2</f>
        <v>380.2</v>
      </c>
      <c r="G237" s="27">
        <f>I237*0.8</f>
        <v>1.4640000000000002</v>
      </c>
      <c r="H237" s="27">
        <f>I237*0.2</f>
        <v>0.36600000000000005</v>
      </c>
      <c r="I237" s="147">
        <v>1.83</v>
      </c>
      <c r="J237" s="14">
        <f t="shared" si="112"/>
        <v>2.3605170000000002</v>
      </c>
      <c r="K237" s="15">
        <f t="shared" ref="K237" si="137">J237*F237</f>
        <v>897.46856339999999</v>
      </c>
      <c r="L237" s="2"/>
      <c r="M237" s="159"/>
      <c r="N237" s="159">
        <f t="shared" si="0"/>
        <v>556.61280000000011</v>
      </c>
      <c r="O237" s="159">
        <f t="shared" si="1"/>
        <v>139.15320000000003</v>
      </c>
      <c r="P237" s="240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s="164" customFormat="1" ht="60" x14ac:dyDescent="0.2">
      <c r="A238" s="179" t="s">
        <v>451</v>
      </c>
      <c r="B238" s="144">
        <v>10527</v>
      </c>
      <c r="C238" s="192" t="s">
        <v>449</v>
      </c>
      <c r="D238" s="405"/>
      <c r="E238" s="147" t="s">
        <v>453</v>
      </c>
      <c r="F238" s="146">
        <v>4</v>
      </c>
      <c r="G238" s="147">
        <f t="shared" ref="G238:G264" si="138">I238*0.4</f>
        <v>16.400000000000002</v>
      </c>
      <c r="H238" s="147">
        <f t="shared" ref="H238:H264" si="139">I238*0.6</f>
        <v>24.599999999999998</v>
      </c>
      <c r="I238" s="147">
        <v>41</v>
      </c>
      <c r="J238" s="14">
        <f t="shared" si="112"/>
        <v>52.885899999999999</v>
      </c>
      <c r="K238" s="15">
        <f t="shared" ref="K238:K264" si="140">J238*F238</f>
        <v>211.5436</v>
      </c>
      <c r="L238" s="2"/>
      <c r="M238" s="165"/>
      <c r="N238" s="165">
        <f t="shared" ref="N238" si="141">G238*F238</f>
        <v>65.600000000000009</v>
      </c>
      <c r="O238" s="165">
        <f t="shared" ref="O238" si="142">H238*F238</f>
        <v>98.399999999999991</v>
      </c>
      <c r="P238" s="240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s="164" customFormat="1" ht="30" x14ac:dyDescent="0.2">
      <c r="A239" s="179" t="s">
        <v>454</v>
      </c>
      <c r="B239" s="144">
        <v>97064</v>
      </c>
      <c r="C239" s="192" t="s">
        <v>455</v>
      </c>
      <c r="D239" s="403"/>
      <c r="E239" s="147" t="s">
        <v>47</v>
      </c>
      <c r="F239" s="146">
        <v>8</v>
      </c>
      <c r="G239" s="147">
        <f t="shared" si="138"/>
        <v>9.6280000000000001</v>
      </c>
      <c r="H239" s="147">
        <f t="shared" si="139"/>
        <v>14.442</v>
      </c>
      <c r="I239" s="147">
        <v>24.07</v>
      </c>
      <c r="J239" s="14">
        <f t="shared" si="112"/>
        <v>31.047893000000002</v>
      </c>
      <c r="K239" s="15">
        <f t="shared" si="140"/>
        <v>248.38314400000002</v>
      </c>
      <c r="L239" s="2"/>
      <c r="M239" s="165"/>
      <c r="N239" s="165">
        <f t="shared" ref="N239" si="143">G239*F239</f>
        <v>77.024000000000001</v>
      </c>
      <c r="O239" s="165">
        <f t="shared" ref="O239" si="144">H239*F239</f>
        <v>115.536</v>
      </c>
      <c r="P239" s="240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s="160" customFormat="1" ht="60" x14ac:dyDescent="0.2">
      <c r="A240" s="185" t="s">
        <v>258</v>
      </c>
      <c r="B240" s="180">
        <v>87630</v>
      </c>
      <c r="C240" s="233" t="s">
        <v>283</v>
      </c>
      <c r="D240" s="402" t="s">
        <v>412</v>
      </c>
      <c r="E240" s="150" t="s">
        <v>16</v>
      </c>
      <c r="F240" s="181">
        <v>135.1</v>
      </c>
      <c r="G240" s="147">
        <f t="shared" si="138"/>
        <v>17.336000000000002</v>
      </c>
      <c r="H240" s="147">
        <f t="shared" si="139"/>
        <v>26.004000000000001</v>
      </c>
      <c r="I240" s="182">
        <v>43.34</v>
      </c>
      <c r="J240" s="14">
        <f t="shared" si="112"/>
        <v>55.904266000000007</v>
      </c>
      <c r="K240" s="15">
        <f t="shared" si="140"/>
        <v>7552.6663366000002</v>
      </c>
      <c r="L240" s="2"/>
      <c r="M240" s="161"/>
      <c r="N240" s="161">
        <f t="shared" si="0"/>
        <v>2342.0936000000002</v>
      </c>
      <c r="O240" s="161">
        <f t="shared" si="1"/>
        <v>3513.1404000000002</v>
      </c>
      <c r="P240" s="240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s="160" customFormat="1" ht="45" x14ac:dyDescent="0.2">
      <c r="A241" s="185" t="s">
        <v>416</v>
      </c>
      <c r="B241" s="183" t="s">
        <v>401</v>
      </c>
      <c r="C241" s="233" t="s">
        <v>402</v>
      </c>
      <c r="D241" s="403"/>
      <c r="E241" s="150" t="s">
        <v>16</v>
      </c>
      <c r="F241" s="181">
        <v>135.1</v>
      </c>
      <c r="G241" s="147">
        <f t="shared" si="138"/>
        <v>22.172000000000001</v>
      </c>
      <c r="H241" s="147">
        <f t="shared" si="139"/>
        <v>33.257999999999996</v>
      </c>
      <c r="I241" s="182">
        <v>55.43</v>
      </c>
      <c r="J241" s="14">
        <f t="shared" si="112"/>
        <v>71.499156999999997</v>
      </c>
      <c r="K241" s="15">
        <f t="shared" si="140"/>
        <v>9659.536110699999</v>
      </c>
      <c r="L241" s="2"/>
      <c r="M241" s="161"/>
      <c r="N241" s="161">
        <f t="shared" si="0"/>
        <v>2995.4371999999998</v>
      </c>
      <c r="O241" s="161">
        <f t="shared" si="1"/>
        <v>4493.1557999999995</v>
      </c>
      <c r="P241" s="240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s="160" customFormat="1" ht="30" x14ac:dyDescent="0.2">
      <c r="A242" s="185" t="s">
        <v>259</v>
      </c>
      <c r="B242" s="180">
        <v>88649</v>
      </c>
      <c r="C242" s="173" t="s">
        <v>415</v>
      </c>
      <c r="D242" s="173" t="s">
        <v>417</v>
      </c>
      <c r="E242" s="182" t="s">
        <v>47</v>
      </c>
      <c r="F242" s="181">
        <v>46.7</v>
      </c>
      <c r="G242" s="147">
        <f t="shared" si="138"/>
        <v>2.8440000000000003</v>
      </c>
      <c r="H242" s="147">
        <f t="shared" si="139"/>
        <v>4.266</v>
      </c>
      <c r="I242" s="182">
        <v>7.11</v>
      </c>
      <c r="J242" s="14">
        <f t="shared" si="112"/>
        <v>9.171189</v>
      </c>
      <c r="K242" s="15">
        <f t="shared" si="140"/>
        <v>428.29452630000003</v>
      </c>
      <c r="L242" s="2"/>
      <c r="M242" s="161"/>
      <c r="N242" s="161">
        <f t="shared" ref="N242" si="145">G242*F242</f>
        <v>132.81480000000002</v>
      </c>
      <c r="O242" s="161">
        <f t="shared" ref="O242" si="146">H242*F242</f>
        <v>199.22220000000002</v>
      </c>
      <c r="P242" s="240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s="190" customFormat="1" ht="45" x14ac:dyDescent="0.2">
      <c r="A243" s="185" t="s">
        <v>260</v>
      </c>
      <c r="B243" s="180" t="s">
        <v>568</v>
      </c>
      <c r="C243" s="173" t="s">
        <v>261</v>
      </c>
      <c r="D243" s="402" t="s">
        <v>502</v>
      </c>
      <c r="E243" s="182" t="s">
        <v>16</v>
      </c>
      <c r="F243" s="181">
        <v>14.4</v>
      </c>
      <c r="G243" s="147">
        <f t="shared" si="138"/>
        <v>45.584000000000003</v>
      </c>
      <c r="H243" s="147">
        <f t="shared" si="139"/>
        <v>68.375999999999991</v>
      </c>
      <c r="I243" s="182">
        <v>113.96</v>
      </c>
      <c r="J243" s="14">
        <f t="shared" si="112"/>
        <v>146.997004</v>
      </c>
      <c r="K243" s="15">
        <f t="shared" si="140"/>
        <v>2116.7568576000003</v>
      </c>
      <c r="L243" s="188"/>
      <c r="M243" s="189"/>
      <c r="N243" s="189">
        <f t="shared" si="0"/>
        <v>656.40960000000007</v>
      </c>
      <c r="O243" s="189">
        <f t="shared" si="1"/>
        <v>984.61439999999993</v>
      </c>
      <c r="P243" s="240"/>
      <c r="Q243" s="2"/>
      <c r="R243" s="188"/>
      <c r="S243" s="188"/>
      <c r="T243" s="188"/>
      <c r="U243" s="188"/>
      <c r="V243" s="188"/>
      <c r="W243" s="188"/>
      <c r="X243" s="188"/>
      <c r="Y243" s="188"/>
      <c r="Z243" s="188"/>
      <c r="AA243" s="188"/>
      <c r="AB243" s="188"/>
      <c r="AC243" s="188"/>
    </row>
    <row r="244" spans="1:29" s="190" customFormat="1" ht="30" x14ac:dyDescent="0.2">
      <c r="A244" s="185" t="s">
        <v>419</v>
      </c>
      <c r="B244" s="180" t="s">
        <v>501</v>
      </c>
      <c r="C244" s="173" t="s">
        <v>569</v>
      </c>
      <c r="D244" s="403"/>
      <c r="E244" s="182" t="s">
        <v>31</v>
      </c>
      <c r="F244" s="181">
        <v>1</v>
      </c>
      <c r="G244" s="147">
        <f>I244*0.2</f>
        <v>138.31400000000002</v>
      </c>
      <c r="H244" s="147">
        <f>I244*0.8</f>
        <v>553.25600000000009</v>
      </c>
      <c r="I244" s="182">
        <f>691.57</f>
        <v>691.57</v>
      </c>
      <c r="J244" s="14">
        <f t="shared" si="112"/>
        <v>892.05614300000013</v>
      </c>
      <c r="K244" s="15">
        <f t="shared" si="140"/>
        <v>892.05614300000013</v>
      </c>
      <c r="L244" s="188"/>
      <c r="M244" s="189"/>
      <c r="N244" s="189">
        <f t="shared" ref="N244" si="147">G244*F244</f>
        <v>138.31400000000002</v>
      </c>
      <c r="O244" s="189">
        <f t="shared" ref="O244" si="148">H244*F244</f>
        <v>553.25600000000009</v>
      </c>
      <c r="P244" s="240"/>
      <c r="Q244" s="2"/>
      <c r="R244" s="188"/>
      <c r="S244" s="188"/>
      <c r="T244" s="188"/>
      <c r="U244" s="188"/>
      <c r="V244" s="188"/>
      <c r="W244" s="188"/>
      <c r="X244" s="188"/>
      <c r="Y244" s="188"/>
      <c r="Z244" s="188"/>
      <c r="AA244" s="188"/>
      <c r="AB244" s="188"/>
      <c r="AC244" s="188"/>
    </row>
    <row r="245" spans="1:29" ht="60" x14ac:dyDescent="0.2">
      <c r="A245" s="166" t="s">
        <v>262</v>
      </c>
      <c r="B245" s="152">
        <v>94573</v>
      </c>
      <c r="C245" s="153" t="s">
        <v>263</v>
      </c>
      <c r="D245" s="402" t="s">
        <v>264</v>
      </c>
      <c r="E245" s="155" t="s">
        <v>16</v>
      </c>
      <c r="F245" s="156">
        <v>10.5</v>
      </c>
      <c r="G245" s="147">
        <f>I245*0.2</f>
        <v>83.004000000000005</v>
      </c>
      <c r="H245" s="147">
        <f>I245*0.8</f>
        <v>332.01600000000002</v>
      </c>
      <c r="I245" s="155">
        <v>415.02</v>
      </c>
      <c r="J245" s="14">
        <f t="shared" si="112"/>
        <v>535.33429799999999</v>
      </c>
      <c r="K245" s="15">
        <f t="shared" si="140"/>
        <v>5621.0101290000002</v>
      </c>
      <c r="L245" s="2"/>
      <c r="M245" s="2"/>
      <c r="N245" s="16">
        <f t="shared" si="0"/>
        <v>871.54200000000003</v>
      </c>
      <c r="O245" s="16">
        <f t="shared" si="1"/>
        <v>3486.1680000000001</v>
      </c>
      <c r="P245" s="240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s="391" customFormat="1" ht="45" x14ac:dyDescent="0.2">
      <c r="A246" s="24" t="s">
        <v>420</v>
      </c>
      <c r="B246" s="25" t="s">
        <v>1206</v>
      </c>
      <c r="C246" s="26" t="s">
        <v>1207</v>
      </c>
      <c r="D246" s="403"/>
      <c r="E246" s="27" t="s">
        <v>47</v>
      </c>
      <c r="F246" s="41">
        <f>3.42+3.27</f>
        <v>6.6899999999999995</v>
      </c>
      <c r="G246" s="147">
        <f t="shared" ref="G246" si="149">I246*0.2</f>
        <v>32.648000000000003</v>
      </c>
      <c r="H246" s="147">
        <f t="shared" ref="H246" si="150">I246*0.8</f>
        <v>130.59200000000001</v>
      </c>
      <c r="I246" s="28">
        <v>163.24</v>
      </c>
      <c r="J246" s="14">
        <f t="shared" si="112"/>
        <v>210.56327600000003</v>
      </c>
      <c r="K246" s="15">
        <f t="shared" si="140"/>
        <v>1408.6683164400001</v>
      </c>
      <c r="L246" s="2"/>
      <c r="M246" s="390"/>
      <c r="N246" s="390">
        <f t="shared" si="0"/>
        <v>218.41512</v>
      </c>
      <c r="O246" s="390">
        <f t="shared" si="1"/>
        <v>873.66048000000001</v>
      </c>
      <c r="P246" s="240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s="248" customFormat="1" ht="30" x14ac:dyDescent="0.2">
      <c r="A247" s="24" t="s">
        <v>420</v>
      </c>
      <c r="B247" s="183" t="s">
        <v>615</v>
      </c>
      <c r="C247" s="62" t="s">
        <v>983</v>
      </c>
      <c r="D247" s="26" t="s">
        <v>982</v>
      </c>
      <c r="E247" s="27" t="s">
        <v>16</v>
      </c>
      <c r="F247" s="156">
        <v>10.5</v>
      </c>
      <c r="G247" s="147">
        <f>I247*0.2</f>
        <v>8.168000000000001</v>
      </c>
      <c r="H247" s="147">
        <f>I247*0.8</f>
        <v>32.672000000000004</v>
      </c>
      <c r="I247" s="28">
        <v>40.840000000000003</v>
      </c>
      <c r="J247" s="14">
        <f t="shared" si="112"/>
        <v>52.679516000000007</v>
      </c>
      <c r="K247" s="15">
        <f t="shared" si="140"/>
        <v>553.13491800000008</v>
      </c>
      <c r="L247" s="2"/>
      <c r="M247" s="249"/>
      <c r="N247" s="249">
        <f t="shared" si="0"/>
        <v>85.76400000000001</v>
      </c>
      <c r="O247" s="249">
        <f t="shared" si="1"/>
        <v>343.05600000000004</v>
      </c>
      <c r="P247" s="240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s="169" customFormat="1" ht="45" x14ac:dyDescent="0.2">
      <c r="A248" s="166" t="s">
        <v>420</v>
      </c>
      <c r="B248" s="45" t="s">
        <v>512</v>
      </c>
      <c r="C248" s="153" t="s">
        <v>942</v>
      </c>
      <c r="D248" s="406" t="s">
        <v>630</v>
      </c>
      <c r="E248" s="155" t="s">
        <v>31</v>
      </c>
      <c r="F248" s="156">
        <v>1</v>
      </c>
      <c r="G248" s="147">
        <f>I248*0.8</f>
        <v>648.89600000000007</v>
      </c>
      <c r="H248" s="147">
        <f>I248*0.2</f>
        <v>162.22400000000002</v>
      </c>
      <c r="I248" s="155">
        <v>811.12</v>
      </c>
      <c r="J248" s="14">
        <f t="shared" si="112"/>
        <v>1046.263688</v>
      </c>
      <c r="K248" s="15">
        <f t="shared" si="140"/>
        <v>1046.263688</v>
      </c>
      <c r="L248" s="2"/>
      <c r="M248" s="2"/>
      <c r="N248" s="170">
        <f t="shared" ref="N248" si="151">G248*F248</f>
        <v>648.89600000000007</v>
      </c>
      <c r="O248" s="170">
        <f t="shared" ref="O248" si="152">H248*F248</f>
        <v>162.22400000000002</v>
      </c>
      <c r="P248" s="240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s="169" customFormat="1" ht="60" x14ac:dyDescent="0.2">
      <c r="A249" s="166" t="s">
        <v>508</v>
      </c>
      <c r="B249" s="152">
        <v>3081</v>
      </c>
      <c r="C249" s="175" t="s">
        <v>520</v>
      </c>
      <c r="D249" s="407"/>
      <c r="E249" s="155" t="s">
        <v>519</v>
      </c>
      <c r="F249" s="156">
        <v>1</v>
      </c>
      <c r="G249" s="147">
        <f t="shared" si="138"/>
        <v>58.192</v>
      </c>
      <c r="H249" s="147">
        <f t="shared" si="139"/>
        <v>87.287999999999997</v>
      </c>
      <c r="I249" s="155">
        <v>145.47999999999999</v>
      </c>
      <c r="J249" s="14">
        <f t="shared" si="112"/>
        <v>187.654652</v>
      </c>
      <c r="K249" s="15">
        <f t="shared" si="140"/>
        <v>187.654652</v>
      </c>
      <c r="L249" s="2"/>
      <c r="M249" s="2"/>
      <c r="N249" s="170">
        <f t="shared" ref="N249" si="153">G249*F249</f>
        <v>58.192</v>
      </c>
      <c r="O249" s="170">
        <f t="shared" ref="O249" si="154">H249*F249</f>
        <v>87.287999999999997</v>
      </c>
      <c r="P249" s="240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s="162" customFormat="1" ht="45" x14ac:dyDescent="0.2">
      <c r="A250" s="166" t="s">
        <v>509</v>
      </c>
      <c r="B250" s="152">
        <v>100763</v>
      </c>
      <c r="C250" s="153" t="s">
        <v>943</v>
      </c>
      <c r="D250" s="406" t="s">
        <v>424</v>
      </c>
      <c r="E250" s="155" t="s">
        <v>421</v>
      </c>
      <c r="F250" s="156">
        <f>ROUND(5.06*4.35+1,2)</f>
        <v>23.01</v>
      </c>
      <c r="G250" s="147">
        <f t="shared" si="138"/>
        <v>8.2880000000000003</v>
      </c>
      <c r="H250" s="147">
        <f t="shared" si="139"/>
        <v>12.431999999999999</v>
      </c>
      <c r="I250" s="155">
        <v>20.72</v>
      </c>
      <c r="J250" s="14">
        <f t="shared" si="112"/>
        <v>26.726727999999998</v>
      </c>
      <c r="K250" s="15">
        <f t="shared" si="140"/>
        <v>614.98201127999994</v>
      </c>
      <c r="L250" s="2"/>
      <c r="M250" s="2"/>
      <c r="N250" s="163">
        <f t="shared" ref="N250" si="155">G250*F250</f>
        <v>190.70688000000001</v>
      </c>
      <c r="O250" s="163">
        <f t="shared" ref="O250" si="156">H250*F250</f>
        <v>286.06031999999999</v>
      </c>
      <c r="P250" s="240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s="162" customFormat="1" ht="45" x14ac:dyDescent="0.2">
      <c r="A251" s="166" t="s">
        <v>510</v>
      </c>
      <c r="B251" s="152">
        <v>100719</v>
      </c>
      <c r="C251" s="153" t="s">
        <v>422</v>
      </c>
      <c r="D251" s="405"/>
      <c r="E251" s="155" t="s">
        <v>16</v>
      </c>
      <c r="F251" s="156">
        <f>ROUND(4.35*2*0.3,2)</f>
        <v>2.61</v>
      </c>
      <c r="G251" s="147">
        <f t="shared" si="138"/>
        <v>4.3719999999999999</v>
      </c>
      <c r="H251" s="147">
        <f t="shared" si="139"/>
        <v>6.5579999999999998</v>
      </c>
      <c r="I251" s="155">
        <v>10.93</v>
      </c>
      <c r="J251" s="14">
        <f t="shared" si="112"/>
        <v>14.098606999999999</v>
      </c>
      <c r="K251" s="15">
        <f t="shared" si="140"/>
        <v>36.797364269999996</v>
      </c>
      <c r="L251" s="2"/>
      <c r="M251" s="2"/>
      <c r="N251" s="163">
        <f t="shared" ref="N251" si="157">G251*F251</f>
        <v>11.410919999999999</v>
      </c>
      <c r="O251" s="163">
        <f t="shared" ref="O251" si="158">H251*F251</f>
        <v>17.116379999999999</v>
      </c>
      <c r="P251" s="240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s="162" customFormat="1" ht="45" x14ac:dyDescent="0.2">
      <c r="A252" s="166" t="s">
        <v>511</v>
      </c>
      <c r="B252" s="152">
        <v>100739</v>
      </c>
      <c r="C252" s="153" t="s">
        <v>423</v>
      </c>
      <c r="D252" s="403"/>
      <c r="E252" s="155" t="s">
        <v>16</v>
      </c>
      <c r="F252" s="156">
        <f>F251*2</f>
        <v>5.22</v>
      </c>
      <c r="G252" s="147">
        <f t="shared" si="138"/>
        <v>4.3079999999999998</v>
      </c>
      <c r="H252" s="147">
        <f t="shared" si="139"/>
        <v>6.4619999999999997</v>
      </c>
      <c r="I252" s="155">
        <v>10.77</v>
      </c>
      <c r="J252" s="14">
        <f t="shared" si="112"/>
        <v>13.892223</v>
      </c>
      <c r="K252" s="15">
        <f t="shared" si="140"/>
        <v>72.51740405999999</v>
      </c>
      <c r="L252" s="2"/>
      <c r="M252" s="2"/>
      <c r="N252" s="163">
        <f t="shared" ref="N252:N253" si="159">G252*F252</f>
        <v>22.487759999999998</v>
      </c>
      <c r="O252" s="163">
        <f t="shared" ref="O252:O253" si="160">H252*F252</f>
        <v>33.731639999999999</v>
      </c>
      <c r="P252" s="240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s="169" customFormat="1" x14ac:dyDescent="0.2">
      <c r="A253" s="24" t="s">
        <v>265</v>
      </c>
      <c r="B253" s="45" t="s">
        <v>109</v>
      </c>
      <c r="C253" s="26" t="s">
        <v>507</v>
      </c>
      <c r="D253" s="404" t="s">
        <v>427</v>
      </c>
      <c r="E253" s="27" t="s">
        <v>47</v>
      </c>
      <c r="F253" s="41">
        <v>8</v>
      </c>
      <c r="G253" s="147">
        <f>I253*0.8</f>
        <v>53.024000000000001</v>
      </c>
      <c r="H253" s="147">
        <f>I253*0.2</f>
        <v>13.256</v>
      </c>
      <c r="I253" s="28">
        <v>66.28</v>
      </c>
      <c r="J253" s="14">
        <f t="shared" si="112"/>
        <v>85.494572000000005</v>
      </c>
      <c r="K253" s="15">
        <f t="shared" si="140"/>
        <v>683.95657600000004</v>
      </c>
      <c r="L253" s="2"/>
      <c r="M253" s="2"/>
      <c r="N253" s="170">
        <f t="shared" si="159"/>
        <v>424.19200000000001</v>
      </c>
      <c r="O253" s="170">
        <f t="shared" si="160"/>
        <v>106.048</v>
      </c>
      <c r="P253" s="240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60" x14ac:dyDescent="0.2">
      <c r="A254" s="24" t="s">
        <v>426</v>
      </c>
      <c r="B254" s="45" t="s">
        <v>97</v>
      </c>
      <c r="C254" s="26" t="s">
        <v>98</v>
      </c>
      <c r="D254" s="400"/>
      <c r="E254" s="27" t="s">
        <v>47</v>
      </c>
      <c r="F254" s="41">
        <v>3.2</v>
      </c>
      <c r="G254" s="147">
        <f>I254*0.2</f>
        <v>150</v>
      </c>
      <c r="H254" s="147">
        <f>I254*0.8</f>
        <v>600</v>
      </c>
      <c r="I254" s="28">
        <v>750</v>
      </c>
      <c r="J254" s="14">
        <f t="shared" si="112"/>
        <v>967.42500000000007</v>
      </c>
      <c r="K254" s="15">
        <f t="shared" si="140"/>
        <v>3095.76</v>
      </c>
      <c r="L254" s="2"/>
      <c r="M254" s="2"/>
      <c r="N254" s="16">
        <f t="shared" si="0"/>
        <v>480</v>
      </c>
      <c r="O254" s="16">
        <f t="shared" si="1"/>
        <v>1920</v>
      </c>
      <c r="P254" s="240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s="162" customFormat="1" ht="30" x14ac:dyDescent="0.2">
      <c r="A255" s="24" t="s">
        <v>503</v>
      </c>
      <c r="B255" s="45" t="s">
        <v>425</v>
      </c>
      <c r="C255" s="34" t="s">
        <v>428</v>
      </c>
      <c r="D255" s="401"/>
      <c r="E255" s="27" t="s">
        <v>47</v>
      </c>
      <c r="F255" s="41">
        <f>2.95+3</f>
        <v>5.95</v>
      </c>
      <c r="G255" s="147">
        <f>I255*0.2</f>
        <v>28</v>
      </c>
      <c r="H255" s="147">
        <f>I255*0.8</f>
        <v>112</v>
      </c>
      <c r="I255" s="28">
        <v>140</v>
      </c>
      <c r="J255" s="14">
        <f t="shared" si="112"/>
        <v>180.58600000000001</v>
      </c>
      <c r="K255" s="15">
        <f t="shared" si="140"/>
        <v>1074.4867000000002</v>
      </c>
      <c r="L255" s="2"/>
      <c r="M255" s="2"/>
      <c r="N255" s="163">
        <f t="shared" ref="N255" si="161">G255*F255</f>
        <v>166.6</v>
      </c>
      <c r="O255" s="163">
        <f t="shared" ref="O255" si="162">H255*F255</f>
        <v>666.4</v>
      </c>
      <c r="P255" s="240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30" x14ac:dyDescent="0.2">
      <c r="A256" s="193" t="s">
        <v>266</v>
      </c>
      <c r="B256" s="144" t="s">
        <v>526</v>
      </c>
      <c r="C256" s="145" t="s">
        <v>527</v>
      </c>
      <c r="D256" s="405" t="s">
        <v>620</v>
      </c>
      <c r="E256" s="196" t="s">
        <v>16</v>
      </c>
      <c r="F256" s="197">
        <f>11*5*0.5+54*0.7</f>
        <v>65.3</v>
      </c>
      <c r="G256" s="147">
        <f t="shared" si="138"/>
        <v>1.4119999999999999</v>
      </c>
      <c r="H256" s="147">
        <f t="shared" si="139"/>
        <v>2.1179999999999999</v>
      </c>
      <c r="I256" s="147">
        <f>3.53</f>
        <v>3.53</v>
      </c>
      <c r="J256" s="14">
        <f t="shared" si="112"/>
        <v>4.5533469999999996</v>
      </c>
      <c r="K256" s="15">
        <f t="shared" si="140"/>
        <v>297.33355909999995</v>
      </c>
      <c r="L256" s="2"/>
      <c r="M256" s="2"/>
      <c r="N256" s="16">
        <f t="shared" si="0"/>
        <v>92.203599999999994</v>
      </c>
      <c r="O256" s="16">
        <f t="shared" si="1"/>
        <v>138.30539999999999</v>
      </c>
      <c r="P256" s="240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30" x14ac:dyDescent="0.2">
      <c r="A257" s="186" t="s">
        <v>267</v>
      </c>
      <c r="B257" s="148" t="s">
        <v>618</v>
      </c>
      <c r="C257" s="187" t="s">
        <v>619</v>
      </c>
      <c r="D257" s="408"/>
      <c r="E257" s="150" t="s">
        <v>16</v>
      </c>
      <c r="F257" s="197">
        <f>11*5*0.5+54*0.7</f>
        <v>65.3</v>
      </c>
      <c r="G257" s="147">
        <f t="shared" si="138"/>
        <v>10.784000000000001</v>
      </c>
      <c r="H257" s="147">
        <f t="shared" si="139"/>
        <v>16.175999999999998</v>
      </c>
      <c r="I257" s="150">
        <f>ROUND(11.98*1.5*1.5,2)</f>
        <v>26.96</v>
      </c>
      <c r="J257" s="14">
        <f t="shared" si="112"/>
        <v>34.775704000000005</v>
      </c>
      <c r="K257" s="15">
        <f t="shared" si="140"/>
        <v>2270.8534712000001</v>
      </c>
      <c r="L257" s="2"/>
      <c r="M257" s="2"/>
      <c r="N257" s="16">
        <f t="shared" si="0"/>
        <v>704.1952</v>
      </c>
      <c r="O257" s="16">
        <f t="shared" si="1"/>
        <v>1056.2927999999999</v>
      </c>
      <c r="P257" s="240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30" x14ac:dyDescent="0.2">
      <c r="A258" s="24" t="s">
        <v>268</v>
      </c>
      <c r="B258" s="25">
        <v>102513</v>
      </c>
      <c r="C258" s="26" t="s">
        <v>132</v>
      </c>
      <c r="D258" s="26" t="s">
        <v>269</v>
      </c>
      <c r="E258" s="27" t="s">
        <v>16</v>
      </c>
      <c r="F258" s="41">
        <v>2.9</v>
      </c>
      <c r="G258" s="147">
        <f t="shared" si="138"/>
        <v>18.380000000000003</v>
      </c>
      <c r="H258" s="147">
        <f t="shared" si="139"/>
        <v>27.57</v>
      </c>
      <c r="I258" s="28">
        <v>45.95</v>
      </c>
      <c r="J258" s="14">
        <f t="shared" si="112"/>
        <v>59.270905000000006</v>
      </c>
      <c r="K258" s="15">
        <f t="shared" si="140"/>
        <v>171.88562450000001</v>
      </c>
      <c r="L258" s="2"/>
      <c r="M258" s="16"/>
      <c r="N258" s="16">
        <f t="shared" si="0"/>
        <v>53.302000000000007</v>
      </c>
      <c r="O258" s="16">
        <f t="shared" si="1"/>
        <v>79.953000000000003</v>
      </c>
      <c r="P258" s="240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s="167" customFormat="1" ht="45" customHeight="1" x14ac:dyDescent="0.2">
      <c r="A259" s="24" t="s">
        <v>485</v>
      </c>
      <c r="B259" s="25">
        <v>101094</v>
      </c>
      <c r="C259" s="26" t="s">
        <v>274</v>
      </c>
      <c r="D259" s="26" t="s">
        <v>275</v>
      </c>
      <c r="E259" s="27" t="s">
        <v>47</v>
      </c>
      <c r="F259" s="41">
        <v>4.25</v>
      </c>
      <c r="G259" s="147">
        <f t="shared" si="138"/>
        <v>61.424000000000007</v>
      </c>
      <c r="H259" s="147">
        <f t="shared" si="139"/>
        <v>92.135999999999996</v>
      </c>
      <c r="I259" s="28">
        <v>153.56</v>
      </c>
      <c r="J259" s="14">
        <f t="shared" si="112"/>
        <v>198.077044</v>
      </c>
      <c r="K259" s="15">
        <f t="shared" si="140"/>
        <v>841.82743700000003</v>
      </c>
      <c r="L259" s="2"/>
      <c r="M259" s="2"/>
      <c r="N259" s="168">
        <f t="shared" ref="N259:N264" si="163">G259*F259</f>
        <v>261.05200000000002</v>
      </c>
      <c r="O259" s="168">
        <f t="shared" ref="O259:O264" si="164">H259*F259</f>
        <v>391.57799999999997</v>
      </c>
      <c r="P259" s="240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s="208" customFormat="1" ht="45" x14ac:dyDescent="0.2">
      <c r="A260" s="17" t="s">
        <v>636</v>
      </c>
      <c r="B260" s="18">
        <v>87878</v>
      </c>
      <c r="C260" s="19" t="s">
        <v>94</v>
      </c>
      <c r="D260" s="404" t="s">
        <v>641</v>
      </c>
      <c r="E260" s="20" t="s">
        <v>16</v>
      </c>
      <c r="F260" s="39">
        <v>22.8</v>
      </c>
      <c r="G260" s="147">
        <f t="shared" si="138"/>
        <v>1.984</v>
      </c>
      <c r="H260" s="147">
        <f t="shared" si="139"/>
        <v>2.976</v>
      </c>
      <c r="I260" s="21">
        <v>4.96</v>
      </c>
      <c r="J260" s="14">
        <f t="shared" si="112"/>
        <v>6.3979040000000005</v>
      </c>
      <c r="K260" s="15">
        <f t="shared" si="140"/>
        <v>145.87221120000001</v>
      </c>
      <c r="L260" s="2"/>
      <c r="M260" s="209"/>
      <c r="N260" s="209">
        <f t="shared" si="163"/>
        <v>45.235199999999999</v>
      </c>
      <c r="O260" s="209">
        <f t="shared" si="164"/>
        <v>67.852800000000002</v>
      </c>
      <c r="P260" s="240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s="208" customFormat="1" ht="60" x14ac:dyDescent="0.2">
      <c r="A261" s="23" t="s">
        <v>637</v>
      </c>
      <c r="B261" s="33">
        <v>87527</v>
      </c>
      <c r="C261" s="34" t="s">
        <v>95</v>
      </c>
      <c r="D261" s="408"/>
      <c r="E261" s="35" t="s">
        <v>16</v>
      </c>
      <c r="F261" s="40">
        <v>22.8</v>
      </c>
      <c r="G261" s="147">
        <f t="shared" si="138"/>
        <v>15.863999999999999</v>
      </c>
      <c r="H261" s="147">
        <f t="shared" si="139"/>
        <v>23.795999999999996</v>
      </c>
      <c r="I261" s="36">
        <v>39.659999999999997</v>
      </c>
      <c r="J261" s="14">
        <f t="shared" si="112"/>
        <v>51.157433999999995</v>
      </c>
      <c r="K261" s="15">
        <f t="shared" si="140"/>
        <v>1166.3894951999998</v>
      </c>
      <c r="L261" s="2"/>
      <c r="M261" s="209"/>
      <c r="N261" s="209">
        <f t="shared" si="163"/>
        <v>361.69919999999996</v>
      </c>
      <c r="O261" s="209">
        <f t="shared" si="164"/>
        <v>542.54879999999991</v>
      </c>
      <c r="P261" s="240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s="208" customFormat="1" ht="30" x14ac:dyDescent="0.2">
      <c r="A262" s="17" t="s">
        <v>638</v>
      </c>
      <c r="B262" s="144">
        <v>88485</v>
      </c>
      <c r="C262" s="145" t="s">
        <v>383</v>
      </c>
      <c r="D262" s="411" t="s">
        <v>642</v>
      </c>
      <c r="E262" s="147" t="s">
        <v>16</v>
      </c>
      <c r="F262" s="146">
        <f>F263+F264</f>
        <v>26.35</v>
      </c>
      <c r="G262" s="147">
        <f t="shared" si="138"/>
        <v>1.4160000000000001</v>
      </c>
      <c r="H262" s="147">
        <f t="shared" si="139"/>
        <v>2.1240000000000001</v>
      </c>
      <c r="I262" s="147">
        <v>3.54</v>
      </c>
      <c r="J262" s="14">
        <f t="shared" si="112"/>
        <v>4.5662460000000005</v>
      </c>
      <c r="K262" s="15">
        <f t="shared" si="140"/>
        <v>120.32058210000002</v>
      </c>
      <c r="L262" s="2"/>
      <c r="M262" s="2"/>
      <c r="N262" s="209">
        <f t="shared" si="163"/>
        <v>37.311600000000006</v>
      </c>
      <c r="O262" s="209">
        <f t="shared" si="164"/>
        <v>55.967400000000005</v>
      </c>
      <c r="P262" s="240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s="208" customFormat="1" ht="30" x14ac:dyDescent="0.2">
      <c r="A263" s="23" t="s">
        <v>639</v>
      </c>
      <c r="B263" s="148">
        <v>88489</v>
      </c>
      <c r="C263" s="187" t="s">
        <v>384</v>
      </c>
      <c r="D263" s="405"/>
      <c r="E263" s="150" t="s">
        <v>16</v>
      </c>
      <c r="F263" s="151">
        <v>22.8</v>
      </c>
      <c r="G263" s="147">
        <f t="shared" si="138"/>
        <v>4.7600000000000007</v>
      </c>
      <c r="H263" s="147">
        <f t="shared" si="139"/>
        <v>7.14</v>
      </c>
      <c r="I263" s="150">
        <v>11.9</v>
      </c>
      <c r="J263" s="14">
        <f t="shared" si="112"/>
        <v>15.349810000000002</v>
      </c>
      <c r="K263" s="15">
        <f t="shared" si="140"/>
        <v>349.97566800000004</v>
      </c>
      <c r="L263" s="2"/>
      <c r="M263" s="2"/>
      <c r="N263" s="209">
        <f t="shared" si="163"/>
        <v>108.52800000000002</v>
      </c>
      <c r="O263" s="209">
        <f t="shared" si="164"/>
        <v>162.792</v>
      </c>
      <c r="P263" s="240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s="208" customFormat="1" ht="30" x14ac:dyDescent="0.2">
      <c r="A264" s="23" t="s">
        <v>640</v>
      </c>
      <c r="B264" s="148" t="s">
        <v>385</v>
      </c>
      <c r="C264" s="187" t="s">
        <v>386</v>
      </c>
      <c r="D264" s="408"/>
      <c r="E264" s="150" t="s">
        <v>16</v>
      </c>
      <c r="F264" s="151">
        <v>3.55</v>
      </c>
      <c r="G264" s="147">
        <f t="shared" si="138"/>
        <v>5.6760000000000002</v>
      </c>
      <c r="H264" s="147">
        <f t="shared" si="139"/>
        <v>8.5139999999999993</v>
      </c>
      <c r="I264" s="150">
        <v>14.19</v>
      </c>
      <c r="J264" s="14">
        <f t="shared" si="112"/>
        <v>18.303681000000001</v>
      </c>
      <c r="K264" s="15">
        <f t="shared" si="140"/>
        <v>64.978067550000006</v>
      </c>
      <c r="L264" s="2"/>
      <c r="M264" s="2"/>
      <c r="N264" s="209">
        <f t="shared" si="163"/>
        <v>20.149799999999999</v>
      </c>
      <c r="O264" s="209">
        <f t="shared" si="164"/>
        <v>30.224699999999995</v>
      </c>
      <c r="P264" s="240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8.75" x14ac:dyDescent="0.2">
      <c r="A265" s="345" t="s">
        <v>270</v>
      </c>
      <c r="B265" s="346"/>
      <c r="C265" s="346"/>
      <c r="D265" s="354"/>
      <c r="E265" s="54"/>
      <c r="F265" s="54"/>
      <c r="G265" s="54"/>
      <c r="H265" s="54"/>
      <c r="I265" s="55"/>
      <c r="J265" s="55"/>
      <c r="K265" s="56">
        <f>SUM(K266:K298)</f>
        <v>189226.13310681499</v>
      </c>
      <c r="L265" s="2"/>
      <c r="M265" s="2"/>
      <c r="N265" s="16">
        <f t="shared" si="0"/>
        <v>0</v>
      </c>
      <c r="O265" s="16">
        <f t="shared" si="1"/>
        <v>0</v>
      </c>
      <c r="P265" s="240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s="158" customFormat="1" x14ac:dyDescent="0.2">
      <c r="A266" s="179" t="s">
        <v>408</v>
      </c>
      <c r="B266" s="144">
        <v>99814</v>
      </c>
      <c r="C266" s="145" t="s">
        <v>388</v>
      </c>
      <c r="D266" s="402" t="s">
        <v>389</v>
      </c>
      <c r="E266" s="147" t="s">
        <v>16</v>
      </c>
      <c r="F266" s="146">
        <f>175+F277*2</f>
        <v>257.39999999999998</v>
      </c>
      <c r="G266" s="27">
        <f>I266*0.8</f>
        <v>1.4640000000000002</v>
      </c>
      <c r="H266" s="27">
        <f>I266*0.2</f>
        <v>0.36600000000000005</v>
      </c>
      <c r="I266" s="147">
        <v>1.83</v>
      </c>
      <c r="J266" s="14">
        <f t="shared" si="112"/>
        <v>2.3605170000000002</v>
      </c>
      <c r="K266" s="15">
        <f t="shared" ref="K266" si="165">J266*F266</f>
        <v>607.59707579999997</v>
      </c>
      <c r="L266" s="2"/>
      <c r="M266" s="159"/>
      <c r="N266" s="159">
        <f t="shared" ref="N266" si="166">G266*F266</f>
        <v>376.83359999999999</v>
      </c>
      <c r="O266" s="159">
        <f t="shared" ref="O266" si="167">H266*F266</f>
        <v>94.208399999999997</v>
      </c>
      <c r="P266" s="240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s="164" customFormat="1" ht="60" x14ac:dyDescent="0.2">
      <c r="A267" s="179" t="s">
        <v>457</v>
      </c>
      <c r="B267" s="144">
        <v>10527</v>
      </c>
      <c r="C267" s="192" t="s">
        <v>449</v>
      </c>
      <c r="D267" s="405"/>
      <c r="E267" s="147" t="s">
        <v>453</v>
      </c>
      <c r="F267" s="146">
        <v>7</v>
      </c>
      <c r="G267" s="147">
        <f t="shared" ref="G267:G284" si="168">I267*0.4</f>
        <v>16.400000000000002</v>
      </c>
      <c r="H267" s="147">
        <f t="shared" ref="H267:H333" si="169">I267*0.6</f>
        <v>24.599999999999998</v>
      </c>
      <c r="I267" s="147">
        <v>41</v>
      </c>
      <c r="J267" s="14">
        <f t="shared" si="112"/>
        <v>52.885899999999999</v>
      </c>
      <c r="K267" s="15">
        <f t="shared" ref="K267:K298" si="170">J267*F267</f>
        <v>370.2013</v>
      </c>
      <c r="L267" s="2"/>
      <c r="M267" s="165"/>
      <c r="N267" s="165">
        <f t="shared" ref="N267" si="171">G267*F267</f>
        <v>114.80000000000001</v>
      </c>
      <c r="O267" s="165">
        <f t="shared" ref="O267" si="172">H267*F267</f>
        <v>172.2</v>
      </c>
      <c r="P267" s="240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s="164" customFormat="1" ht="30" x14ac:dyDescent="0.2">
      <c r="A268" s="179" t="s">
        <v>458</v>
      </c>
      <c r="B268" s="144">
        <v>97064</v>
      </c>
      <c r="C268" s="192" t="s">
        <v>455</v>
      </c>
      <c r="D268" s="403"/>
      <c r="E268" s="147" t="s">
        <v>47</v>
      </c>
      <c r="F268" s="146">
        <v>14</v>
      </c>
      <c r="G268" s="147">
        <f t="shared" si="168"/>
        <v>9.6280000000000001</v>
      </c>
      <c r="H268" s="147">
        <f t="shared" si="169"/>
        <v>14.442</v>
      </c>
      <c r="I268" s="147">
        <v>24.07</v>
      </c>
      <c r="J268" s="14">
        <f t="shared" si="112"/>
        <v>31.047893000000002</v>
      </c>
      <c r="K268" s="15">
        <f t="shared" si="170"/>
        <v>434.67050200000006</v>
      </c>
      <c r="L268" s="2"/>
      <c r="M268" s="165"/>
      <c r="N268" s="165">
        <f t="shared" ref="N268" si="173">G268*F268</f>
        <v>134.792</v>
      </c>
      <c r="O268" s="165">
        <f t="shared" ref="O268" si="174">H268*F268</f>
        <v>202.18799999999999</v>
      </c>
      <c r="P268" s="240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60" x14ac:dyDescent="0.2">
      <c r="A269" s="166" t="s">
        <v>271</v>
      </c>
      <c r="B269" s="152">
        <v>94573</v>
      </c>
      <c r="C269" s="153" t="s">
        <v>263</v>
      </c>
      <c r="D269" s="402" t="s">
        <v>1194</v>
      </c>
      <c r="E269" s="155" t="s">
        <v>16</v>
      </c>
      <c r="F269" s="156">
        <v>18.43</v>
      </c>
      <c r="G269" s="147">
        <f t="shared" si="168"/>
        <v>166.00800000000001</v>
      </c>
      <c r="H269" s="147">
        <f t="shared" si="169"/>
        <v>249.01199999999997</v>
      </c>
      <c r="I269" s="155">
        <v>415.02</v>
      </c>
      <c r="J269" s="14">
        <f t="shared" si="112"/>
        <v>535.33429799999999</v>
      </c>
      <c r="K269" s="15">
        <f t="shared" si="170"/>
        <v>9866.2111121399994</v>
      </c>
      <c r="L269" s="2"/>
      <c r="M269" s="16"/>
      <c r="N269" s="16">
        <f t="shared" si="0"/>
        <v>3059.5274400000003</v>
      </c>
      <c r="O269" s="16">
        <f t="shared" si="1"/>
        <v>4589.2911599999998</v>
      </c>
      <c r="P269" s="240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s="391" customFormat="1" ht="45" x14ac:dyDescent="0.2">
      <c r="A270" s="24" t="s">
        <v>985</v>
      </c>
      <c r="B270" s="25" t="s">
        <v>1206</v>
      </c>
      <c r="C270" s="26" t="s">
        <v>1207</v>
      </c>
      <c r="D270" s="403"/>
      <c r="E270" s="27" t="s">
        <v>47</v>
      </c>
      <c r="F270" s="41">
        <f>4.85*4</f>
        <v>19.399999999999999</v>
      </c>
      <c r="G270" s="147">
        <f t="shared" ref="G270" si="175">I270*0.2</f>
        <v>32.648000000000003</v>
      </c>
      <c r="H270" s="147">
        <f t="shared" ref="H270" si="176">I270*0.8</f>
        <v>130.59200000000001</v>
      </c>
      <c r="I270" s="28">
        <v>163.24</v>
      </c>
      <c r="J270" s="14">
        <f t="shared" ref="J270" si="177">I270*(1+$K$11)</f>
        <v>210.56327600000003</v>
      </c>
      <c r="K270" s="15">
        <f t="shared" si="170"/>
        <v>4084.9275544000002</v>
      </c>
      <c r="L270" s="2"/>
      <c r="M270" s="390"/>
      <c r="N270" s="390">
        <f t="shared" ref="N270" si="178">G270*F270</f>
        <v>633.37120000000004</v>
      </c>
      <c r="O270" s="390">
        <f t="shared" ref="O270" si="179">H270*F270</f>
        <v>2533.4848000000002</v>
      </c>
      <c r="P270" s="240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s="248" customFormat="1" ht="30" x14ac:dyDescent="0.2">
      <c r="A271" s="24" t="s">
        <v>1208</v>
      </c>
      <c r="B271" s="183" t="s">
        <v>615</v>
      </c>
      <c r="C271" s="62" t="s">
        <v>983</v>
      </c>
      <c r="D271" s="26" t="s">
        <v>982</v>
      </c>
      <c r="E271" s="27" t="s">
        <v>16</v>
      </c>
      <c r="F271" s="156">
        <f>F269</f>
        <v>18.43</v>
      </c>
      <c r="G271" s="147">
        <f t="shared" si="168"/>
        <v>16.336000000000002</v>
      </c>
      <c r="H271" s="147">
        <f t="shared" si="169"/>
        <v>24.504000000000001</v>
      </c>
      <c r="I271" s="28">
        <v>40.840000000000003</v>
      </c>
      <c r="J271" s="14">
        <f t="shared" si="112"/>
        <v>52.679516000000007</v>
      </c>
      <c r="K271" s="15">
        <f t="shared" si="170"/>
        <v>970.8834798800001</v>
      </c>
      <c r="L271" s="2"/>
      <c r="M271" s="249"/>
      <c r="N271" s="249">
        <f t="shared" si="0"/>
        <v>301.07248000000004</v>
      </c>
      <c r="O271" s="249">
        <f t="shared" si="1"/>
        <v>451.60872000000001</v>
      </c>
      <c r="P271" s="240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s="190" customFormat="1" ht="30" x14ac:dyDescent="0.2">
      <c r="A272" s="166" t="s">
        <v>272</v>
      </c>
      <c r="B272" s="144" t="s">
        <v>526</v>
      </c>
      <c r="C272" s="145" t="s">
        <v>527</v>
      </c>
      <c r="D272" s="402" t="s">
        <v>528</v>
      </c>
      <c r="E272" s="150" t="s">
        <v>16</v>
      </c>
      <c r="F272" s="156">
        <f>25*2*0.5+14*5*0.5+40*0.7</f>
        <v>88</v>
      </c>
      <c r="G272" s="147">
        <f t="shared" si="168"/>
        <v>1.4119999999999999</v>
      </c>
      <c r="H272" s="147">
        <f t="shared" si="169"/>
        <v>2.1179999999999999</v>
      </c>
      <c r="I272" s="147">
        <f>3.53</f>
        <v>3.53</v>
      </c>
      <c r="J272" s="14">
        <f t="shared" si="112"/>
        <v>4.5533469999999996</v>
      </c>
      <c r="K272" s="15">
        <f t="shared" si="170"/>
        <v>400.69453599999997</v>
      </c>
      <c r="L272" s="188"/>
      <c r="M272" s="188"/>
      <c r="N272" s="189">
        <f t="shared" ref="N272" si="180">G272*F272</f>
        <v>124.256</v>
      </c>
      <c r="O272" s="189">
        <f t="shared" ref="O272" si="181">H272*F272</f>
        <v>186.38399999999999</v>
      </c>
      <c r="P272" s="240"/>
      <c r="Q272" s="2"/>
      <c r="R272" s="188"/>
      <c r="S272" s="188"/>
      <c r="T272" s="188"/>
      <c r="U272" s="188"/>
      <c r="V272" s="188"/>
      <c r="W272" s="188"/>
      <c r="X272" s="188"/>
      <c r="Y272" s="188"/>
      <c r="Z272" s="188"/>
      <c r="AA272" s="188"/>
      <c r="AB272" s="188"/>
      <c r="AC272" s="188"/>
    </row>
    <row r="273" spans="1:29" s="190" customFormat="1" ht="30" x14ac:dyDescent="0.2">
      <c r="A273" s="166" t="s">
        <v>432</v>
      </c>
      <c r="B273" s="148" t="s">
        <v>618</v>
      </c>
      <c r="C273" s="187" t="s">
        <v>619</v>
      </c>
      <c r="D273" s="403"/>
      <c r="E273" s="150" t="s">
        <v>16</v>
      </c>
      <c r="F273" s="156">
        <f>25*2*0.5+14*5*0.5+40*0.7</f>
        <v>88</v>
      </c>
      <c r="G273" s="147">
        <f t="shared" si="168"/>
        <v>10.784000000000001</v>
      </c>
      <c r="H273" s="147">
        <f t="shared" si="169"/>
        <v>16.175999999999998</v>
      </c>
      <c r="I273" s="150">
        <f>ROUND(11.98*1.5*1.5,2)</f>
        <v>26.96</v>
      </c>
      <c r="J273" s="14">
        <f t="shared" si="112"/>
        <v>34.775704000000005</v>
      </c>
      <c r="K273" s="15">
        <f t="shared" si="170"/>
        <v>3060.2619520000003</v>
      </c>
      <c r="L273" s="188"/>
      <c r="M273" s="188"/>
      <c r="N273" s="189">
        <f t="shared" ref="N273" si="182">G273*F273</f>
        <v>948.99200000000008</v>
      </c>
      <c r="O273" s="189">
        <f t="shared" ref="O273" si="183">H273*F273</f>
        <v>1423.4879999999998</v>
      </c>
      <c r="P273" s="240"/>
      <c r="Q273" s="2"/>
      <c r="R273" s="188"/>
      <c r="S273" s="188"/>
      <c r="T273" s="188"/>
      <c r="U273" s="188"/>
      <c r="V273" s="188"/>
      <c r="W273" s="188"/>
      <c r="X273" s="188"/>
      <c r="Y273" s="188"/>
      <c r="Z273" s="188"/>
      <c r="AA273" s="188"/>
      <c r="AB273" s="188"/>
      <c r="AC273" s="188"/>
    </row>
    <row r="274" spans="1:29" ht="45" customHeight="1" x14ac:dyDescent="0.2">
      <c r="A274" s="24" t="s">
        <v>273</v>
      </c>
      <c r="B274" s="25">
        <v>101094</v>
      </c>
      <c r="C274" s="26" t="s">
        <v>274</v>
      </c>
      <c r="D274" s="26" t="s">
        <v>275</v>
      </c>
      <c r="E274" s="27" t="s">
        <v>47</v>
      </c>
      <c r="F274" s="41">
        <v>3</v>
      </c>
      <c r="G274" s="147">
        <f t="shared" si="168"/>
        <v>61.424000000000007</v>
      </c>
      <c r="H274" s="147">
        <f t="shared" si="169"/>
        <v>92.135999999999996</v>
      </c>
      <c r="I274" s="28">
        <v>153.56</v>
      </c>
      <c r="J274" s="14">
        <f t="shared" si="112"/>
        <v>198.077044</v>
      </c>
      <c r="K274" s="15">
        <f t="shared" si="170"/>
        <v>594.231132</v>
      </c>
      <c r="L274" s="2"/>
      <c r="M274" s="2"/>
      <c r="N274" s="16">
        <f t="shared" si="0"/>
        <v>184.27200000000002</v>
      </c>
      <c r="O274" s="16">
        <f t="shared" si="1"/>
        <v>276.40800000000002</v>
      </c>
      <c r="P274" s="240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30" x14ac:dyDescent="0.2">
      <c r="A275" s="23" t="s">
        <v>276</v>
      </c>
      <c r="B275" s="44" t="s">
        <v>101</v>
      </c>
      <c r="C275" s="34" t="s">
        <v>102</v>
      </c>
      <c r="D275" s="34" t="s">
        <v>277</v>
      </c>
      <c r="E275" s="35" t="s">
        <v>47</v>
      </c>
      <c r="F275" s="40">
        <v>6.5</v>
      </c>
      <c r="G275" s="147">
        <f t="shared" si="168"/>
        <v>100</v>
      </c>
      <c r="H275" s="147">
        <f t="shared" si="169"/>
        <v>150</v>
      </c>
      <c r="I275" s="36">
        <v>250</v>
      </c>
      <c r="J275" s="14">
        <f t="shared" si="112"/>
        <v>322.47500000000002</v>
      </c>
      <c r="K275" s="15">
        <f t="shared" si="170"/>
        <v>2096.0875000000001</v>
      </c>
      <c r="L275" s="2"/>
      <c r="M275" s="2"/>
      <c r="N275" s="16">
        <f t="shared" si="0"/>
        <v>650</v>
      </c>
      <c r="O275" s="16">
        <f t="shared" si="1"/>
        <v>975</v>
      </c>
      <c r="P275" s="240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s="162" customFormat="1" ht="45" x14ac:dyDescent="0.2">
      <c r="A276" s="185" t="s">
        <v>278</v>
      </c>
      <c r="B276" s="180">
        <v>89709</v>
      </c>
      <c r="C276" s="173" t="s">
        <v>431</v>
      </c>
      <c r="D276" s="402" t="s">
        <v>429</v>
      </c>
      <c r="E276" s="150" t="s">
        <v>31</v>
      </c>
      <c r="F276" s="181">
        <v>1</v>
      </c>
      <c r="G276" s="147">
        <f t="shared" si="168"/>
        <v>8.484</v>
      </c>
      <c r="H276" s="147">
        <f t="shared" si="169"/>
        <v>12.726000000000001</v>
      </c>
      <c r="I276" s="182">
        <v>21.21</v>
      </c>
      <c r="J276" s="14">
        <f t="shared" si="112"/>
        <v>27.358779000000002</v>
      </c>
      <c r="K276" s="15">
        <f t="shared" si="170"/>
        <v>27.358779000000002</v>
      </c>
      <c r="L276" s="2"/>
      <c r="M276" s="163"/>
      <c r="N276" s="163">
        <f t="shared" si="0"/>
        <v>8.484</v>
      </c>
      <c r="O276" s="163">
        <f t="shared" si="1"/>
        <v>12.726000000000001</v>
      </c>
      <c r="P276" s="240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s="160" customFormat="1" ht="60" x14ac:dyDescent="0.2">
      <c r="A277" s="185" t="s">
        <v>418</v>
      </c>
      <c r="B277" s="180">
        <v>87630</v>
      </c>
      <c r="C277" s="173" t="s">
        <v>283</v>
      </c>
      <c r="D277" s="405"/>
      <c r="E277" s="150" t="s">
        <v>16</v>
      </c>
      <c r="F277" s="181">
        <v>41.2</v>
      </c>
      <c r="G277" s="147">
        <f t="shared" si="168"/>
        <v>17.336000000000002</v>
      </c>
      <c r="H277" s="147">
        <f t="shared" si="169"/>
        <v>26.004000000000001</v>
      </c>
      <c r="I277" s="182">
        <v>43.34</v>
      </c>
      <c r="J277" s="14">
        <f t="shared" si="112"/>
        <v>55.904266000000007</v>
      </c>
      <c r="K277" s="15">
        <f t="shared" si="170"/>
        <v>2303.2557592000003</v>
      </c>
      <c r="L277" s="2"/>
      <c r="M277" s="161"/>
      <c r="N277" s="161">
        <f t="shared" ref="N277:N279" si="184">G277*F277</f>
        <v>714.24320000000012</v>
      </c>
      <c r="O277" s="161">
        <f t="shared" ref="O277:O279" si="185">H277*F277</f>
        <v>1071.3648000000001</v>
      </c>
      <c r="P277" s="240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s="160" customFormat="1" ht="45" x14ac:dyDescent="0.2">
      <c r="A278" s="185" t="s">
        <v>430</v>
      </c>
      <c r="B278" s="183" t="s">
        <v>401</v>
      </c>
      <c r="C278" s="173" t="s">
        <v>402</v>
      </c>
      <c r="D278" s="405"/>
      <c r="E278" s="150" t="s">
        <v>16</v>
      </c>
      <c r="F278" s="181">
        <v>44.3</v>
      </c>
      <c r="G278" s="147">
        <f t="shared" si="168"/>
        <v>22.172000000000001</v>
      </c>
      <c r="H278" s="147">
        <f t="shared" si="169"/>
        <v>33.257999999999996</v>
      </c>
      <c r="I278" s="182">
        <v>55.43</v>
      </c>
      <c r="J278" s="14">
        <f t="shared" si="112"/>
        <v>71.499156999999997</v>
      </c>
      <c r="K278" s="15">
        <f t="shared" si="170"/>
        <v>3167.4126550999995</v>
      </c>
      <c r="L278" s="2"/>
      <c r="M278" s="161"/>
      <c r="N278" s="161">
        <f t="shared" si="184"/>
        <v>982.21960000000001</v>
      </c>
      <c r="O278" s="161">
        <f t="shared" si="185"/>
        <v>1473.3293999999996</v>
      </c>
      <c r="P278" s="240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s="160" customFormat="1" ht="30" x14ac:dyDescent="0.2">
      <c r="A279" s="185" t="s">
        <v>279</v>
      </c>
      <c r="B279" s="180">
        <v>88649</v>
      </c>
      <c r="C279" s="173" t="s">
        <v>415</v>
      </c>
      <c r="D279" s="173" t="s">
        <v>417</v>
      </c>
      <c r="E279" s="182" t="s">
        <v>47</v>
      </c>
      <c r="F279" s="181">
        <v>50.5</v>
      </c>
      <c r="G279" s="147">
        <f t="shared" si="168"/>
        <v>2.8440000000000003</v>
      </c>
      <c r="H279" s="147">
        <f t="shared" si="169"/>
        <v>4.266</v>
      </c>
      <c r="I279" s="182">
        <v>7.11</v>
      </c>
      <c r="J279" s="14">
        <f t="shared" si="112"/>
        <v>9.171189</v>
      </c>
      <c r="K279" s="15">
        <f t="shared" si="170"/>
        <v>463.14504449999998</v>
      </c>
      <c r="L279" s="2"/>
      <c r="M279" s="161"/>
      <c r="N279" s="161">
        <f t="shared" si="184"/>
        <v>143.62200000000001</v>
      </c>
      <c r="O279" s="161">
        <f t="shared" si="185"/>
        <v>215.43299999999999</v>
      </c>
      <c r="P279" s="240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30" x14ac:dyDescent="0.2">
      <c r="A280" s="24" t="s">
        <v>280</v>
      </c>
      <c r="B280" s="62">
        <v>100729</v>
      </c>
      <c r="C280" s="62" t="s">
        <v>281</v>
      </c>
      <c r="D280" s="26" t="s">
        <v>282</v>
      </c>
      <c r="E280" s="27" t="s">
        <v>16</v>
      </c>
      <c r="F280" s="41">
        <v>6.65</v>
      </c>
      <c r="G280" s="147">
        <f t="shared" si="168"/>
        <v>8.0879999999999992</v>
      </c>
      <c r="H280" s="147">
        <f t="shared" si="169"/>
        <v>12.132</v>
      </c>
      <c r="I280" s="28">
        <v>20.22</v>
      </c>
      <c r="J280" s="14">
        <f t="shared" si="112"/>
        <v>26.081778</v>
      </c>
      <c r="K280" s="15">
        <f t="shared" si="170"/>
        <v>173.4438237</v>
      </c>
      <c r="L280" s="2"/>
      <c r="M280" s="16"/>
      <c r="N280" s="16">
        <f t="shared" si="0"/>
        <v>53.785199999999996</v>
      </c>
      <c r="O280" s="16">
        <f t="shared" si="1"/>
        <v>80.677800000000005</v>
      </c>
      <c r="P280" s="240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s="248" customFormat="1" ht="45" x14ac:dyDescent="0.2">
      <c r="A281" s="24" t="s">
        <v>1209</v>
      </c>
      <c r="B281" s="62" t="s">
        <v>980</v>
      </c>
      <c r="C281" s="62" t="s">
        <v>198</v>
      </c>
      <c r="D281" s="404" t="s">
        <v>981</v>
      </c>
      <c r="E281" s="27" t="s">
        <v>16</v>
      </c>
      <c r="F281" s="41">
        <v>5.1100000000000003</v>
      </c>
      <c r="G281" s="147">
        <f t="shared" si="168"/>
        <v>277.28000000000003</v>
      </c>
      <c r="H281" s="147">
        <f t="shared" si="169"/>
        <v>415.92</v>
      </c>
      <c r="I281" s="28">
        <v>693.2</v>
      </c>
      <c r="J281" s="14">
        <f t="shared" ref="J281:J352" si="186">I281*(1+$K$11)</f>
        <v>894.15868000000012</v>
      </c>
      <c r="K281" s="15">
        <f t="shared" si="170"/>
        <v>4569.1508548000011</v>
      </c>
      <c r="L281" s="2"/>
      <c r="M281" s="249"/>
      <c r="N281" s="249">
        <f t="shared" ref="N281:N282" si="187">G281*F281</f>
        <v>1416.9008000000003</v>
      </c>
      <c r="O281" s="249">
        <f t="shared" ref="O281:O282" si="188">H281*F281</f>
        <v>2125.3512000000001</v>
      </c>
      <c r="P281" s="240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s="391" customFormat="1" ht="45" x14ac:dyDescent="0.2">
      <c r="A282" s="24" t="s">
        <v>1210</v>
      </c>
      <c r="B282" s="25" t="s">
        <v>1206</v>
      </c>
      <c r="C282" s="26" t="s">
        <v>1207</v>
      </c>
      <c r="D282" s="401"/>
      <c r="E282" s="27" t="s">
        <v>47</v>
      </c>
      <c r="F282" s="41">
        <v>1.65</v>
      </c>
      <c r="G282" s="147">
        <f t="shared" ref="G282" si="189">I282*0.2</f>
        <v>32.648000000000003</v>
      </c>
      <c r="H282" s="147">
        <f t="shared" ref="H282" si="190">I282*0.8</f>
        <v>130.59200000000001</v>
      </c>
      <c r="I282" s="28">
        <v>163.24</v>
      </c>
      <c r="J282" s="14">
        <f t="shared" si="186"/>
        <v>210.56327600000003</v>
      </c>
      <c r="K282" s="15">
        <f t="shared" ref="K282" si="191">J282*F282</f>
        <v>347.42940540000001</v>
      </c>
      <c r="L282" s="2"/>
      <c r="M282" s="390"/>
      <c r="N282" s="390">
        <f t="shared" si="187"/>
        <v>53.869199999999999</v>
      </c>
      <c r="O282" s="390">
        <f t="shared" si="188"/>
        <v>215.4768</v>
      </c>
      <c r="P282" s="240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s="206" customFormat="1" ht="19.5" customHeight="1" x14ac:dyDescent="0.2">
      <c r="A283" s="166" t="s">
        <v>1211</v>
      </c>
      <c r="B283" s="198" t="s">
        <v>615</v>
      </c>
      <c r="C283" s="153" t="s">
        <v>633</v>
      </c>
      <c r="D283" s="153" t="s">
        <v>634</v>
      </c>
      <c r="E283" s="155" t="s">
        <v>31</v>
      </c>
      <c r="F283" s="156">
        <v>40</v>
      </c>
      <c r="G283" s="147">
        <f t="shared" si="168"/>
        <v>1.1720000000000002</v>
      </c>
      <c r="H283" s="147">
        <f t="shared" si="169"/>
        <v>1.758</v>
      </c>
      <c r="I283" s="155">
        <v>2.93</v>
      </c>
      <c r="J283" s="14">
        <f t="shared" si="186"/>
        <v>3.7794070000000004</v>
      </c>
      <c r="K283" s="15">
        <f t="shared" si="170"/>
        <v>151.17628000000002</v>
      </c>
      <c r="L283" s="2"/>
      <c r="M283" s="207"/>
      <c r="N283" s="207">
        <f t="shared" ref="N283" si="192">G283*F283</f>
        <v>46.88000000000001</v>
      </c>
      <c r="O283" s="207">
        <f t="shared" ref="O283" si="193">H283*F283</f>
        <v>70.319999999999993</v>
      </c>
      <c r="P283" s="240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s="246" customFormat="1" ht="35.25" customHeight="1" x14ac:dyDescent="0.2">
      <c r="A284" s="166" t="s">
        <v>1212</v>
      </c>
      <c r="B284" s="198" t="s">
        <v>615</v>
      </c>
      <c r="C284" s="153" t="s">
        <v>971</v>
      </c>
      <c r="D284" s="153" t="s">
        <v>969</v>
      </c>
      <c r="E284" s="155" t="s">
        <v>47</v>
      </c>
      <c r="F284" s="156">
        <v>16.5</v>
      </c>
      <c r="G284" s="147">
        <f t="shared" si="168"/>
        <v>2.8689999999999998</v>
      </c>
      <c r="H284" s="147">
        <f t="shared" si="169"/>
        <v>4.3034999999999997</v>
      </c>
      <c r="I284" s="155">
        <f>143.45/20</f>
        <v>7.1724999999999994</v>
      </c>
      <c r="J284" s="14">
        <f t="shared" si="186"/>
        <v>9.2518077499999993</v>
      </c>
      <c r="K284" s="15">
        <f t="shared" si="170"/>
        <v>152.654827875</v>
      </c>
      <c r="L284" s="2"/>
      <c r="M284" s="247"/>
      <c r="N284" s="247">
        <f t="shared" ref="N284:N298" si="194">G284*F284</f>
        <v>47.338499999999996</v>
      </c>
      <c r="O284" s="247">
        <f t="shared" ref="O284:O298" si="195">H284*F284</f>
        <v>71.007749999999987</v>
      </c>
      <c r="P284" s="240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s="369" customFormat="1" ht="21" customHeight="1" x14ac:dyDescent="0.2">
      <c r="A285" s="474" t="s">
        <v>1190</v>
      </c>
      <c r="B285" s="475"/>
      <c r="C285" s="475"/>
      <c r="D285" s="475"/>
      <c r="E285" s="475"/>
      <c r="F285" s="475"/>
      <c r="G285" s="475"/>
      <c r="H285" s="475"/>
      <c r="I285" s="475"/>
      <c r="J285" s="476"/>
      <c r="K285" s="392"/>
      <c r="L285" s="2"/>
      <c r="M285" s="368"/>
      <c r="N285" s="368"/>
      <c r="O285" s="368"/>
      <c r="P285" s="240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s="369" customFormat="1" x14ac:dyDescent="0.2">
      <c r="A286" s="179" t="s">
        <v>1213</v>
      </c>
      <c r="B286" s="144">
        <v>99814</v>
      </c>
      <c r="C286" s="145" t="s">
        <v>388</v>
      </c>
      <c r="D286" s="26" t="s">
        <v>1164</v>
      </c>
      <c r="E286" s="147" t="s">
        <v>16</v>
      </c>
      <c r="F286" s="146">
        <f>F293</f>
        <v>369.56</v>
      </c>
      <c r="G286" s="147">
        <f>I286*0.8</f>
        <v>1.4640000000000002</v>
      </c>
      <c r="H286" s="147">
        <f>I286*0.2</f>
        <v>0.36600000000000005</v>
      </c>
      <c r="I286" s="147">
        <v>1.83</v>
      </c>
      <c r="J286" s="14">
        <f t="shared" si="186"/>
        <v>2.3605170000000002</v>
      </c>
      <c r="K286" s="15">
        <f t="shared" si="170"/>
        <v>872.35266252000008</v>
      </c>
      <c r="L286" s="2"/>
      <c r="M286" s="368"/>
      <c r="N286" s="368">
        <f t="shared" si="194"/>
        <v>541.03584000000012</v>
      </c>
      <c r="O286" s="368">
        <f t="shared" si="195"/>
        <v>135.25896000000003</v>
      </c>
      <c r="P286" s="240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s="369" customFormat="1" ht="60" x14ac:dyDescent="0.2">
      <c r="A287" s="166" t="s">
        <v>1214</v>
      </c>
      <c r="B287" s="152" t="s">
        <v>1165</v>
      </c>
      <c r="C287" s="153" t="s">
        <v>1166</v>
      </c>
      <c r="D287" s="153" t="s">
        <v>1167</v>
      </c>
      <c r="E287" s="155" t="s">
        <v>16</v>
      </c>
      <c r="F287" s="156">
        <f>1.6*4*4+0.4*25*4</f>
        <v>65.599999999999994</v>
      </c>
      <c r="G287" s="147">
        <f>I287*0.8</f>
        <v>20.184000000000001</v>
      </c>
      <c r="H287" s="147">
        <f>I287*0.2</f>
        <v>5.0460000000000003</v>
      </c>
      <c r="I287" s="155">
        <v>25.23</v>
      </c>
      <c r="J287" s="14">
        <f t="shared" si="186"/>
        <v>32.544177000000005</v>
      </c>
      <c r="K287" s="15">
        <f t="shared" si="170"/>
        <v>2134.8980111999999</v>
      </c>
      <c r="L287" s="2"/>
      <c r="M287" s="368"/>
      <c r="N287" s="368">
        <f t="shared" si="194"/>
        <v>1324.0704000000001</v>
      </c>
      <c r="O287" s="368">
        <f t="shared" si="195"/>
        <v>331.01760000000002</v>
      </c>
      <c r="P287" s="240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s="369" customFormat="1" ht="30" x14ac:dyDescent="0.2">
      <c r="A288" s="179" t="s">
        <v>1215</v>
      </c>
      <c r="B288" s="152" t="s">
        <v>1168</v>
      </c>
      <c r="C288" s="175" t="s">
        <v>1169</v>
      </c>
      <c r="D288" s="153" t="s">
        <v>1170</v>
      </c>
      <c r="E288" s="155" t="s">
        <v>47</v>
      </c>
      <c r="F288" s="156">
        <f>4*4</f>
        <v>16</v>
      </c>
      <c r="G288" s="147">
        <f t="shared" ref="G288:G297" si="196">I288*0.4</f>
        <v>18.372</v>
      </c>
      <c r="H288" s="147">
        <f t="shared" ref="H288:H297" si="197">I288*0.6</f>
        <v>27.558</v>
      </c>
      <c r="I288" s="155">
        <f>45.93</f>
        <v>45.93</v>
      </c>
      <c r="J288" s="14">
        <f t="shared" si="186"/>
        <v>59.245107000000004</v>
      </c>
      <c r="K288" s="15">
        <f t="shared" si="170"/>
        <v>947.92171200000007</v>
      </c>
      <c r="L288" s="2"/>
      <c r="M288" s="368"/>
      <c r="N288" s="368">
        <f>G288*F288</f>
        <v>293.952</v>
      </c>
      <c r="O288" s="368">
        <f>H288*F288</f>
        <v>440.928</v>
      </c>
      <c r="P288" s="240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s="369" customFormat="1" ht="75" x14ac:dyDescent="0.2">
      <c r="A289" s="166" t="s">
        <v>1216</v>
      </c>
      <c r="B289" s="152" t="s">
        <v>1168</v>
      </c>
      <c r="C289" s="175" t="s">
        <v>1171</v>
      </c>
      <c r="D289" s="153" t="s">
        <v>1172</v>
      </c>
      <c r="E289" s="155" t="s">
        <v>47</v>
      </c>
      <c r="F289" s="156">
        <f>25*3+4*5</f>
        <v>95</v>
      </c>
      <c r="G289" s="147">
        <f t="shared" si="196"/>
        <v>13.664</v>
      </c>
      <c r="H289" s="147">
        <f t="shared" si="197"/>
        <v>20.495999999999999</v>
      </c>
      <c r="I289" s="155">
        <v>34.159999999999997</v>
      </c>
      <c r="J289" s="14">
        <f t="shared" si="186"/>
        <v>44.062984</v>
      </c>
      <c r="K289" s="15">
        <f t="shared" si="170"/>
        <v>4185.9834799999999</v>
      </c>
      <c r="L289" s="2"/>
      <c r="M289" s="368"/>
      <c r="N289" s="368">
        <f t="shared" ref="N289" si="198">G289*F289</f>
        <v>1298.08</v>
      </c>
      <c r="O289" s="368">
        <f t="shared" ref="O289" si="199">H289*F289</f>
        <v>1947.12</v>
      </c>
      <c r="P289" s="240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s="369" customFormat="1" ht="60" x14ac:dyDescent="0.2">
      <c r="A290" s="179" t="s">
        <v>1217</v>
      </c>
      <c r="B290" s="152">
        <v>87680</v>
      </c>
      <c r="C290" s="153" t="s">
        <v>1173</v>
      </c>
      <c r="D290" s="153" t="s">
        <v>1174</v>
      </c>
      <c r="E290" s="155" t="s">
        <v>16</v>
      </c>
      <c r="F290" s="156">
        <v>198.96</v>
      </c>
      <c r="G290" s="147">
        <f t="shared" si="196"/>
        <v>18.28</v>
      </c>
      <c r="H290" s="147">
        <f t="shared" si="197"/>
        <v>27.42</v>
      </c>
      <c r="I290" s="155">
        <v>45.7</v>
      </c>
      <c r="J290" s="14">
        <f t="shared" si="186"/>
        <v>58.948430000000009</v>
      </c>
      <c r="K290" s="15">
        <f t="shared" si="170"/>
        <v>11728.379632800003</v>
      </c>
      <c r="L290" s="2"/>
      <c r="M290" s="368"/>
      <c r="N290" s="368">
        <f t="shared" si="194"/>
        <v>3636.9888000000005</v>
      </c>
      <c r="O290" s="368">
        <f t="shared" si="195"/>
        <v>5455.4832000000006</v>
      </c>
      <c r="P290" s="240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s="369" customFormat="1" ht="75" x14ac:dyDescent="0.2">
      <c r="A291" s="166" t="s">
        <v>1218</v>
      </c>
      <c r="B291" s="371" t="s">
        <v>1175</v>
      </c>
      <c r="C291" s="175" t="s">
        <v>1176</v>
      </c>
      <c r="D291" s="153" t="s">
        <v>1238</v>
      </c>
      <c r="E291" s="155" t="s">
        <v>16</v>
      </c>
      <c r="F291" s="156">
        <f>F290</f>
        <v>198.96</v>
      </c>
      <c r="G291" s="147">
        <f>I291*0.3</f>
        <v>120.84</v>
      </c>
      <c r="H291" s="147">
        <f>I291*0.7</f>
        <v>281.95999999999998</v>
      </c>
      <c r="I291" s="155">
        <v>402.8</v>
      </c>
      <c r="J291" s="14">
        <f t="shared" si="186"/>
        <v>519.57172000000003</v>
      </c>
      <c r="K291" s="15">
        <f t="shared" si="170"/>
        <v>103373.9894112</v>
      </c>
      <c r="L291" s="2"/>
      <c r="M291" s="368"/>
      <c r="N291" s="368">
        <f t="shared" si="194"/>
        <v>24042.326400000002</v>
      </c>
      <c r="O291" s="368">
        <f t="shared" si="195"/>
        <v>56098.761599999998</v>
      </c>
      <c r="P291" s="240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s="369" customFormat="1" ht="75" x14ac:dyDescent="0.2">
      <c r="A292" s="179" t="s">
        <v>1219</v>
      </c>
      <c r="B292" s="152" t="s">
        <v>1177</v>
      </c>
      <c r="C292" s="153" t="s">
        <v>1178</v>
      </c>
      <c r="D292" s="153" t="s">
        <v>1239</v>
      </c>
      <c r="E292" s="155" t="s">
        <v>16</v>
      </c>
      <c r="F292" s="156">
        <f>0.15*25*4</f>
        <v>15</v>
      </c>
      <c r="G292" s="147">
        <f t="shared" si="196"/>
        <v>25.248000000000001</v>
      </c>
      <c r="H292" s="147">
        <f t="shared" si="197"/>
        <v>37.872</v>
      </c>
      <c r="I292" s="155">
        <v>63.12</v>
      </c>
      <c r="J292" s="14">
        <f t="shared" si="186"/>
        <v>81.418487999999996</v>
      </c>
      <c r="K292" s="15">
        <f t="shared" si="170"/>
        <v>1221.2773199999999</v>
      </c>
      <c r="L292" s="2"/>
      <c r="M292" s="368"/>
      <c r="N292" s="368">
        <f t="shared" si="194"/>
        <v>378.72</v>
      </c>
      <c r="O292" s="368">
        <f t="shared" si="195"/>
        <v>568.08000000000004</v>
      </c>
      <c r="P292" s="240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s="369" customFormat="1" ht="75" customHeight="1" x14ac:dyDescent="0.2">
      <c r="A293" s="166" t="s">
        <v>1220</v>
      </c>
      <c r="B293" s="152" t="s">
        <v>1179</v>
      </c>
      <c r="C293" s="175" t="s">
        <v>1180</v>
      </c>
      <c r="D293" s="153" t="s">
        <v>1181</v>
      </c>
      <c r="E293" s="155" t="s">
        <v>16</v>
      </c>
      <c r="F293" s="156">
        <f>ROUND(F291+0.4*(25*4+4*4)+1.2*4*4+1.05*25*4,2)</f>
        <v>369.56</v>
      </c>
      <c r="G293" s="147">
        <f>I293*0.3</f>
        <v>17.07</v>
      </c>
      <c r="H293" s="147">
        <f>I293*0.7</f>
        <v>39.83</v>
      </c>
      <c r="I293" s="155">
        <v>56.9</v>
      </c>
      <c r="J293" s="14">
        <f t="shared" si="186"/>
        <v>73.395309999999995</v>
      </c>
      <c r="K293" s="15">
        <f t="shared" si="170"/>
        <v>27123.970763599998</v>
      </c>
      <c r="L293" s="2"/>
      <c r="M293" s="368"/>
      <c r="N293" s="368">
        <f t="shared" si="194"/>
        <v>6308.3892000000005</v>
      </c>
      <c r="O293" s="368">
        <f t="shared" si="195"/>
        <v>14719.5748</v>
      </c>
      <c r="P293" s="240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s="369" customFormat="1" ht="45" x14ac:dyDescent="0.2">
      <c r="A294" s="179" t="s">
        <v>1221</v>
      </c>
      <c r="B294" s="152">
        <v>96536</v>
      </c>
      <c r="C294" s="175" t="s">
        <v>1182</v>
      </c>
      <c r="D294" s="402" t="s">
        <v>1183</v>
      </c>
      <c r="E294" s="155" t="s">
        <v>16</v>
      </c>
      <c r="F294" s="156">
        <f>0.1*25*4</f>
        <v>10</v>
      </c>
      <c r="G294" s="147">
        <f t="shared" si="196"/>
        <v>27.128</v>
      </c>
      <c r="H294" s="147">
        <f t="shared" si="197"/>
        <v>40.691999999999993</v>
      </c>
      <c r="I294" s="155">
        <v>67.819999999999993</v>
      </c>
      <c r="J294" s="14">
        <f t="shared" si="186"/>
        <v>87.481017999999992</v>
      </c>
      <c r="K294" s="15">
        <f t="shared" si="170"/>
        <v>874.81017999999995</v>
      </c>
      <c r="L294" s="2"/>
      <c r="M294" s="368"/>
      <c r="N294" s="368">
        <f t="shared" si="194"/>
        <v>271.27999999999997</v>
      </c>
      <c r="O294" s="368">
        <f t="shared" si="195"/>
        <v>406.91999999999996</v>
      </c>
      <c r="P294" s="240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s="369" customFormat="1" ht="45" x14ac:dyDescent="0.2">
      <c r="A295" s="166" t="s">
        <v>1222</v>
      </c>
      <c r="B295" s="152">
        <v>92760</v>
      </c>
      <c r="C295" s="175" t="s">
        <v>1184</v>
      </c>
      <c r="D295" s="405"/>
      <c r="E295" s="155" t="s">
        <v>421</v>
      </c>
      <c r="F295" s="156">
        <f>ROUND(0.245*25*4*1.1,2)</f>
        <v>26.95</v>
      </c>
      <c r="G295" s="147">
        <f t="shared" si="196"/>
        <v>5.2560000000000002</v>
      </c>
      <c r="H295" s="147">
        <f t="shared" si="197"/>
        <v>7.8840000000000003</v>
      </c>
      <c r="I295" s="155">
        <v>13.14</v>
      </c>
      <c r="J295" s="14">
        <f t="shared" si="186"/>
        <v>16.949286000000001</v>
      </c>
      <c r="K295" s="15">
        <f t="shared" si="170"/>
        <v>456.78325770000004</v>
      </c>
      <c r="L295" s="2"/>
      <c r="M295" s="368"/>
      <c r="N295" s="368">
        <f t="shared" si="194"/>
        <v>141.64920000000001</v>
      </c>
      <c r="O295" s="368">
        <f t="shared" si="195"/>
        <v>212.47380000000001</v>
      </c>
      <c r="P295" s="240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s="369" customFormat="1" ht="60" x14ac:dyDescent="0.2">
      <c r="A296" s="179" t="s">
        <v>1223</v>
      </c>
      <c r="B296" s="152">
        <v>103681</v>
      </c>
      <c r="C296" s="175" t="s">
        <v>1185</v>
      </c>
      <c r="D296" s="403"/>
      <c r="E296" s="142" t="s">
        <v>56</v>
      </c>
      <c r="F296" s="156">
        <f>ROUND(0.08*0.07*25*4,2)</f>
        <v>0.56000000000000005</v>
      </c>
      <c r="G296" s="147">
        <f>I296*0.3</f>
        <v>231.45</v>
      </c>
      <c r="H296" s="147">
        <f>I296*0.7</f>
        <v>540.04999999999995</v>
      </c>
      <c r="I296" s="155">
        <v>771.5</v>
      </c>
      <c r="J296" s="14">
        <f t="shared" si="186"/>
        <v>995.15785000000005</v>
      </c>
      <c r="K296" s="15">
        <f t="shared" si="170"/>
        <v>557.28839600000003</v>
      </c>
      <c r="L296" s="2"/>
      <c r="M296" s="368"/>
      <c r="N296" s="368">
        <f t="shared" si="194"/>
        <v>129.61199999999999</v>
      </c>
      <c r="O296" s="368">
        <f t="shared" si="195"/>
        <v>302.428</v>
      </c>
      <c r="P296" s="240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s="369" customFormat="1" ht="30" x14ac:dyDescent="0.2">
      <c r="A297" s="166" t="s">
        <v>1224</v>
      </c>
      <c r="B297" s="371" t="s">
        <v>615</v>
      </c>
      <c r="C297" s="153" t="s">
        <v>1186</v>
      </c>
      <c r="D297" s="153" t="s">
        <v>1187</v>
      </c>
      <c r="E297" s="155" t="s">
        <v>31</v>
      </c>
      <c r="F297" s="156">
        <v>2</v>
      </c>
      <c r="G297" s="147">
        <f t="shared" si="196"/>
        <v>80</v>
      </c>
      <c r="H297" s="147">
        <f t="shared" si="197"/>
        <v>120</v>
      </c>
      <c r="I297" s="155">
        <v>200</v>
      </c>
      <c r="J297" s="14">
        <f t="shared" si="186"/>
        <v>257.98</v>
      </c>
      <c r="K297" s="15">
        <f t="shared" si="170"/>
        <v>515.96</v>
      </c>
      <c r="L297" s="2"/>
      <c r="M297" s="368"/>
      <c r="N297" s="368">
        <f t="shared" si="194"/>
        <v>160</v>
      </c>
      <c r="O297" s="368">
        <f t="shared" si="195"/>
        <v>240</v>
      </c>
      <c r="P297" s="240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s="369" customFormat="1" ht="30" x14ac:dyDescent="0.2">
      <c r="A298" s="179" t="s">
        <v>1225</v>
      </c>
      <c r="B298" s="371" t="s">
        <v>1188</v>
      </c>
      <c r="C298" s="153" t="s">
        <v>284</v>
      </c>
      <c r="D298" s="153" t="s">
        <v>1189</v>
      </c>
      <c r="E298" s="155" t="s">
        <v>31</v>
      </c>
      <c r="F298" s="156">
        <v>2</v>
      </c>
      <c r="G298" s="147">
        <f>I298*0.2</f>
        <v>107.89400000000001</v>
      </c>
      <c r="H298" s="147">
        <f>I298*0.8</f>
        <v>431.57600000000002</v>
      </c>
      <c r="I298" s="155">
        <v>539.47</v>
      </c>
      <c r="J298" s="14">
        <f t="shared" si="186"/>
        <v>695.8623530000001</v>
      </c>
      <c r="K298" s="15">
        <f t="shared" si="170"/>
        <v>1391.7247060000002</v>
      </c>
      <c r="L298" s="2"/>
      <c r="M298" s="368"/>
      <c r="N298" s="368">
        <f t="shared" si="194"/>
        <v>215.78800000000001</v>
      </c>
      <c r="O298" s="368">
        <f t="shared" si="195"/>
        <v>863.15200000000004</v>
      </c>
      <c r="P298" s="240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8.75" x14ac:dyDescent="0.2">
      <c r="A299" s="345" t="s">
        <v>285</v>
      </c>
      <c r="B299" s="346"/>
      <c r="C299" s="346"/>
      <c r="D299" s="354"/>
      <c r="E299" s="54"/>
      <c r="F299" s="54"/>
      <c r="G299" s="54"/>
      <c r="H299" s="54"/>
      <c r="I299" s="55"/>
      <c r="J299" s="55"/>
      <c r="K299" s="56">
        <f>SUM(K300:K312)</f>
        <v>25516.655976804999</v>
      </c>
      <c r="L299" s="2"/>
      <c r="M299" s="2"/>
      <c r="N299" s="16">
        <f t="shared" si="0"/>
        <v>0</v>
      </c>
      <c r="O299" s="16">
        <f t="shared" si="1"/>
        <v>0</v>
      </c>
      <c r="P299" s="240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s="158" customFormat="1" x14ac:dyDescent="0.2">
      <c r="A300" s="179" t="s">
        <v>409</v>
      </c>
      <c r="B300" s="144">
        <v>99814</v>
      </c>
      <c r="C300" s="145" t="s">
        <v>388</v>
      </c>
      <c r="D300" s="402" t="s">
        <v>521</v>
      </c>
      <c r="E300" s="147" t="s">
        <v>16</v>
      </c>
      <c r="F300" s="146">
        <f>105+162*2</f>
        <v>429</v>
      </c>
      <c r="G300" s="27">
        <f>I300*0.8</f>
        <v>1.4640000000000002</v>
      </c>
      <c r="H300" s="27">
        <f>I300*0.2</f>
        <v>0.36600000000000005</v>
      </c>
      <c r="I300" s="147">
        <v>1.83</v>
      </c>
      <c r="J300" s="14">
        <f t="shared" si="186"/>
        <v>2.3605170000000002</v>
      </c>
      <c r="K300" s="15">
        <f t="shared" ref="K300" si="200">J300*F300</f>
        <v>1012.6617930000001</v>
      </c>
      <c r="L300" s="2"/>
      <c r="M300" s="159"/>
      <c r="N300" s="159">
        <f t="shared" si="0"/>
        <v>628.05600000000004</v>
      </c>
      <c r="O300" s="159">
        <f t="shared" si="1"/>
        <v>157.01400000000001</v>
      </c>
      <c r="P300" s="240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s="164" customFormat="1" ht="60" x14ac:dyDescent="0.2">
      <c r="A301" s="179" t="s">
        <v>433</v>
      </c>
      <c r="B301" s="144">
        <v>10527</v>
      </c>
      <c r="C301" s="192" t="s">
        <v>449</v>
      </c>
      <c r="D301" s="405"/>
      <c r="E301" s="147" t="s">
        <v>453</v>
      </c>
      <c r="F301" s="146">
        <v>4</v>
      </c>
      <c r="G301" s="147">
        <f t="shared" ref="G301:G312" si="201">I301*0.4</f>
        <v>16.400000000000002</v>
      </c>
      <c r="H301" s="147">
        <f t="shared" si="169"/>
        <v>24.599999999999998</v>
      </c>
      <c r="I301" s="147">
        <v>41</v>
      </c>
      <c r="J301" s="14">
        <f t="shared" si="186"/>
        <v>52.885899999999999</v>
      </c>
      <c r="K301" s="15">
        <f t="shared" ref="K301:K312" si="202">J301*F301</f>
        <v>211.5436</v>
      </c>
      <c r="L301" s="2"/>
      <c r="M301" s="165"/>
      <c r="N301" s="165">
        <f t="shared" ref="N301:N302" si="203">G301*F301</f>
        <v>65.600000000000009</v>
      </c>
      <c r="O301" s="165">
        <f t="shared" ref="O301:O302" si="204">H301*F301</f>
        <v>98.399999999999991</v>
      </c>
      <c r="P301" s="240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s="164" customFormat="1" ht="30" x14ac:dyDescent="0.2">
      <c r="A302" s="179" t="s">
        <v>460</v>
      </c>
      <c r="B302" s="144">
        <v>97064</v>
      </c>
      <c r="C302" s="192" t="s">
        <v>455</v>
      </c>
      <c r="D302" s="403"/>
      <c r="E302" s="147" t="s">
        <v>47</v>
      </c>
      <c r="F302" s="146">
        <v>8</v>
      </c>
      <c r="G302" s="147">
        <f t="shared" si="201"/>
        <v>9.6280000000000001</v>
      </c>
      <c r="H302" s="147">
        <f t="shared" si="169"/>
        <v>14.442</v>
      </c>
      <c r="I302" s="147">
        <v>24.07</v>
      </c>
      <c r="J302" s="14">
        <f t="shared" si="186"/>
        <v>31.047893000000002</v>
      </c>
      <c r="K302" s="15">
        <f t="shared" si="202"/>
        <v>248.38314400000002</v>
      </c>
      <c r="L302" s="2"/>
      <c r="M302" s="165"/>
      <c r="N302" s="165">
        <f t="shared" si="203"/>
        <v>77.024000000000001</v>
      </c>
      <c r="O302" s="165">
        <f t="shared" si="204"/>
        <v>115.536</v>
      </c>
      <c r="P302" s="240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s="248" customFormat="1" ht="60" x14ac:dyDescent="0.2">
      <c r="A303" s="166" t="s">
        <v>286</v>
      </c>
      <c r="B303" s="152">
        <v>94573</v>
      </c>
      <c r="C303" s="153" t="s">
        <v>263</v>
      </c>
      <c r="D303" s="402" t="s">
        <v>1194</v>
      </c>
      <c r="E303" s="155" t="s">
        <v>16</v>
      </c>
      <c r="F303" s="156">
        <v>18.43</v>
      </c>
      <c r="G303" s="147">
        <f t="shared" si="201"/>
        <v>166.00800000000001</v>
      </c>
      <c r="H303" s="147">
        <f t="shared" si="169"/>
        <v>249.01199999999997</v>
      </c>
      <c r="I303" s="155">
        <v>415.02</v>
      </c>
      <c r="J303" s="14">
        <f t="shared" si="186"/>
        <v>535.33429799999999</v>
      </c>
      <c r="K303" s="15">
        <f t="shared" si="202"/>
        <v>9866.2111121399994</v>
      </c>
      <c r="L303" s="2"/>
      <c r="M303" s="249"/>
      <c r="N303" s="249">
        <f t="shared" ref="N303:N304" si="205">G303*F303</f>
        <v>3059.5274400000003</v>
      </c>
      <c r="O303" s="249">
        <f t="shared" ref="O303:O304" si="206">H303*F303</f>
        <v>4589.2911599999998</v>
      </c>
      <c r="P303" s="240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s="391" customFormat="1" ht="45" x14ac:dyDescent="0.2">
      <c r="A304" s="24" t="s">
        <v>984</v>
      </c>
      <c r="B304" s="25" t="s">
        <v>1206</v>
      </c>
      <c r="C304" s="26" t="s">
        <v>1207</v>
      </c>
      <c r="D304" s="403"/>
      <c r="E304" s="27" t="s">
        <v>47</v>
      </c>
      <c r="F304" s="41">
        <f>4.85*4</f>
        <v>19.399999999999999</v>
      </c>
      <c r="G304" s="147">
        <f t="shared" ref="G304" si="207">I304*0.2</f>
        <v>32.648000000000003</v>
      </c>
      <c r="H304" s="147">
        <f t="shared" ref="H304" si="208">I304*0.8</f>
        <v>130.59200000000001</v>
      </c>
      <c r="I304" s="28">
        <v>163.24</v>
      </c>
      <c r="J304" s="14">
        <f t="shared" si="186"/>
        <v>210.56327600000003</v>
      </c>
      <c r="K304" s="15">
        <f t="shared" si="202"/>
        <v>4084.9275544000002</v>
      </c>
      <c r="L304" s="2"/>
      <c r="M304" s="390"/>
      <c r="N304" s="390">
        <f t="shared" si="205"/>
        <v>633.37120000000004</v>
      </c>
      <c r="O304" s="390">
        <f t="shared" si="206"/>
        <v>2533.4848000000002</v>
      </c>
      <c r="P304" s="240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s="169" customFormat="1" ht="30" x14ac:dyDescent="0.2">
      <c r="A305" s="193" t="s">
        <v>287</v>
      </c>
      <c r="B305" s="144" t="s">
        <v>526</v>
      </c>
      <c r="C305" s="145" t="s">
        <v>527</v>
      </c>
      <c r="D305" s="402" t="s">
        <v>616</v>
      </c>
      <c r="E305" s="196" t="s">
        <v>16</v>
      </c>
      <c r="F305" s="194">
        <f>ROUND(30*0.5+25*2*0.4+7*5*0.5+(5+30)*0.4,2)</f>
        <v>66.5</v>
      </c>
      <c r="G305" s="147">
        <f t="shared" si="201"/>
        <v>1.4119999999999999</v>
      </c>
      <c r="H305" s="147">
        <f t="shared" si="169"/>
        <v>2.1179999999999999</v>
      </c>
      <c r="I305" s="147">
        <f>3.53</f>
        <v>3.53</v>
      </c>
      <c r="J305" s="14">
        <f t="shared" si="186"/>
        <v>4.5533469999999996</v>
      </c>
      <c r="K305" s="15">
        <f t="shared" si="202"/>
        <v>302.79757549999999</v>
      </c>
      <c r="L305" s="2"/>
      <c r="M305" s="170"/>
      <c r="N305" s="170">
        <f t="shared" ref="N305" si="209">G305*F305</f>
        <v>93.897999999999996</v>
      </c>
      <c r="O305" s="170">
        <f t="shared" ref="O305" si="210">H305*F305</f>
        <v>140.84699999999998</v>
      </c>
      <c r="P305" s="240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30" x14ac:dyDescent="0.2">
      <c r="A306" s="179" t="s">
        <v>288</v>
      </c>
      <c r="B306" s="148" t="s">
        <v>618</v>
      </c>
      <c r="C306" s="187" t="s">
        <v>619</v>
      </c>
      <c r="D306" s="403"/>
      <c r="E306" s="150" t="s">
        <v>16</v>
      </c>
      <c r="F306" s="194">
        <f>ROUND(30*0.5+25*2*0.4+7*5*0.5+(5+30)*0.4,2)</f>
        <v>66.5</v>
      </c>
      <c r="G306" s="147">
        <f t="shared" si="201"/>
        <v>10.784000000000001</v>
      </c>
      <c r="H306" s="147">
        <f t="shared" si="169"/>
        <v>16.175999999999998</v>
      </c>
      <c r="I306" s="150">
        <f>ROUND(11.98*1.5*1.5,2)</f>
        <v>26.96</v>
      </c>
      <c r="J306" s="14">
        <f t="shared" si="186"/>
        <v>34.775704000000005</v>
      </c>
      <c r="K306" s="15">
        <f t="shared" si="202"/>
        <v>2312.5843160000004</v>
      </c>
      <c r="L306" s="2"/>
      <c r="M306" s="16"/>
      <c r="N306" s="16">
        <f t="shared" si="0"/>
        <v>717.13600000000008</v>
      </c>
      <c r="O306" s="16">
        <f t="shared" si="1"/>
        <v>1075.704</v>
      </c>
      <c r="P306" s="240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s="201" customFormat="1" x14ac:dyDescent="0.2">
      <c r="A307" s="193" t="s">
        <v>287</v>
      </c>
      <c r="B307" s="144">
        <v>100717</v>
      </c>
      <c r="C307" s="145" t="s">
        <v>523</v>
      </c>
      <c r="D307" s="402" t="s">
        <v>617</v>
      </c>
      <c r="E307" s="203" t="s">
        <v>16</v>
      </c>
      <c r="F307" s="194">
        <f>ROUND(25*2*0.3+5.35*1,2)</f>
        <v>20.350000000000001</v>
      </c>
      <c r="G307" s="147">
        <f t="shared" si="201"/>
        <v>4.0280000000000005</v>
      </c>
      <c r="H307" s="147">
        <f t="shared" si="169"/>
        <v>6.0419999999999998</v>
      </c>
      <c r="I307" s="147">
        <v>10.07</v>
      </c>
      <c r="J307" s="14">
        <f t="shared" si="186"/>
        <v>12.989293</v>
      </c>
      <c r="K307" s="15">
        <f t="shared" si="202"/>
        <v>264.33211255000003</v>
      </c>
      <c r="L307" s="2"/>
      <c r="M307" s="202"/>
      <c r="N307" s="202">
        <f t="shared" si="0"/>
        <v>81.969800000000021</v>
      </c>
      <c r="O307" s="202">
        <f t="shared" si="1"/>
        <v>122.9547</v>
      </c>
      <c r="P307" s="240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s="201" customFormat="1" ht="30" x14ac:dyDescent="0.2">
      <c r="A308" s="179" t="s">
        <v>522</v>
      </c>
      <c r="B308" s="148" t="s">
        <v>533</v>
      </c>
      <c r="C308" s="187" t="s">
        <v>391</v>
      </c>
      <c r="D308" s="403"/>
      <c r="E308" s="150" t="s">
        <v>16</v>
      </c>
      <c r="F308" s="194">
        <f>ROUND(25*2*0.3+5.35*1,2)</f>
        <v>20.350000000000001</v>
      </c>
      <c r="G308" s="147">
        <f t="shared" si="201"/>
        <v>15.402000000000001</v>
      </c>
      <c r="H308" s="147">
        <f t="shared" si="169"/>
        <v>23.103000000000002</v>
      </c>
      <c r="I308" s="150">
        <f>25.67*1.5</f>
        <v>38.505000000000003</v>
      </c>
      <c r="J308" s="14">
        <f t="shared" si="186"/>
        <v>49.667599500000009</v>
      </c>
      <c r="K308" s="15">
        <f t="shared" si="202"/>
        <v>1010.7356498250002</v>
      </c>
      <c r="L308" s="2"/>
      <c r="M308" s="202"/>
      <c r="N308" s="202">
        <f t="shared" ref="N308" si="211">G308*F308</f>
        <v>313.43070000000006</v>
      </c>
      <c r="O308" s="202">
        <f t="shared" ref="O308" si="212">H308*F308</f>
        <v>470.14605000000006</v>
      </c>
      <c r="P308" s="240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30" x14ac:dyDescent="0.2">
      <c r="A309" s="24" t="s">
        <v>289</v>
      </c>
      <c r="B309" s="25">
        <v>101736</v>
      </c>
      <c r="C309" s="26" t="s">
        <v>290</v>
      </c>
      <c r="D309" s="26" t="s">
        <v>291</v>
      </c>
      <c r="E309" s="27" t="s">
        <v>16</v>
      </c>
      <c r="F309" s="25">
        <v>41.95</v>
      </c>
      <c r="G309" s="147">
        <f t="shared" si="201"/>
        <v>36.94</v>
      </c>
      <c r="H309" s="147">
        <f t="shared" si="169"/>
        <v>55.41</v>
      </c>
      <c r="I309" s="28">
        <v>92.35</v>
      </c>
      <c r="J309" s="14">
        <f t="shared" si="186"/>
        <v>119.122265</v>
      </c>
      <c r="K309" s="15">
        <f t="shared" si="202"/>
        <v>4997.1790167500003</v>
      </c>
      <c r="L309" s="2"/>
      <c r="M309" s="2"/>
      <c r="N309" s="16">
        <f t="shared" si="0"/>
        <v>1549.633</v>
      </c>
      <c r="O309" s="16">
        <f t="shared" si="1"/>
        <v>2324.4495000000002</v>
      </c>
      <c r="P309" s="240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30" hidden="1" x14ac:dyDescent="0.2">
      <c r="A310" s="135" t="s">
        <v>292</v>
      </c>
      <c r="B310" s="157">
        <v>101727</v>
      </c>
      <c r="C310" s="137" t="s">
        <v>293</v>
      </c>
      <c r="D310" s="138" t="s">
        <v>294</v>
      </c>
      <c r="E310" s="139" t="s">
        <v>16</v>
      </c>
      <c r="F310" s="136">
        <v>119.5</v>
      </c>
      <c r="G310" s="147">
        <f t="shared" si="201"/>
        <v>0</v>
      </c>
      <c r="H310" s="147">
        <f t="shared" si="169"/>
        <v>0</v>
      </c>
      <c r="I310" s="139"/>
      <c r="J310" s="14">
        <f t="shared" si="186"/>
        <v>0</v>
      </c>
      <c r="K310" s="15">
        <f t="shared" si="202"/>
        <v>0</v>
      </c>
      <c r="L310" s="2"/>
      <c r="M310" s="2"/>
      <c r="N310" s="16">
        <f t="shared" si="0"/>
        <v>0</v>
      </c>
      <c r="O310" s="16">
        <f t="shared" si="1"/>
        <v>0</v>
      </c>
      <c r="P310" s="240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s="169" customFormat="1" ht="30" x14ac:dyDescent="0.2">
      <c r="A311" s="179" t="s">
        <v>292</v>
      </c>
      <c r="B311" s="148" t="s">
        <v>531</v>
      </c>
      <c r="C311" s="187" t="s">
        <v>532</v>
      </c>
      <c r="D311" s="402" t="s">
        <v>570</v>
      </c>
      <c r="E311" s="150" t="s">
        <v>16</v>
      </c>
      <c r="F311" s="194">
        <f>16.68*2</f>
        <v>33.36</v>
      </c>
      <c r="G311" s="147">
        <f t="shared" si="201"/>
        <v>0.88000000000000012</v>
      </c>
      <c r="H311" s="147">
        <f t="shared" si="169"/>
        <v>1.32</v>
      </c>
      <c r="I311" s="150">
        <v>2.2000000000000002</v>
      </c>
      <c r="J311" s="14">
        <f t="shared" si="186"/>
        <v>2.8377800000000004</v>
      </c>
      <c r="K311" s="15">
        <f t="shared" si="202"/>
        <v>94.66834080000001</v>
      </c>
      <c r="L311" s="2"/>
      <c r="M311" s="170"/>
      <c r="N311" s="170">
        <f t="shared" ref="N311:N312" si="213">G311*F311</f>
        <v>29.356800000000003</v>
      </c>
      <c r="O311" s="170">
        <f t="shared" ref="O311:O312" si="214">H311*F311</f>
        <v>44.035200000000003</v>
      </c>
      <c r="P311" s="240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s="169" customFormat="1" x14ac:dyDescent="0.2">
      <c r="A312" s="166" t="s">
        <v>530</v>
      </c>
      <c r="B312" s="152" t="s">
        <v>533</v>
      </c>
      <c r="C312" s="153" t="s">
        <v>534</v>
      </c>
      <c r="D312" s="403"/>
      <c r="E312" s="155" t="s">
        <v>16</v>
      </c>
      <c r="F312" s="152">
        <v>33.36</v>
      </c>
      <c r="G312" s="147">
        <f t="shared" si="201"/>
        <v>10.324</v>
      </c>
      <c r="H312" s="147">
        <f t="shared" si="169"/>
        <v>15.485999999999999</v>
      </c>
      <c r="I312" s="155">
        <v>25.81</v>
      </c>
      <c r="J312" s="14">
        <f t="shared" si="186"/>
        <v>33.292318999999999</v>
      </c>
      <c r="K312" s="15">
        <f t="shared" si="202"/>
        <v>1110.6317618399999</v>
      </c>
      <c r="L312" s="2"/>
      <c r="M312" s="2"/>
      <c r="N312" s="170">
        <f t="shared" si="213"/>
        <v>344.40863999999999</v>
      </c>
      <c r="O312" s="170">
        <f t="shared" si="214"/>
        <v>516.61295999999993</v>
      </c>
      <c r="P312" s="240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8.75" x14ac:dyDescent="0.2">
      <c r="A313" s="345" t="s">
        <v>295</v>
      </c>
      <c r="B313" s="346"/>
      <c r="C313" s="346"/>
      <c r="D313" s="354"/>
      <c r="E313" s="54"/>
      <c r="F313" s="54"/>
      <c r="G313" s="54"/>
      <c r="H313" s="54"/>
      <c r="I313" s="55"/>
      <c r="J313" s="55"/>
      <c r="K313" s="56">
        <f>SUM(K314:K347)</f>
        <v>210644.98521598126</v>
      </c>
      <c r="L313" s="2"/>
      <c r="M313" s="2"/>
      <c r="N313" s="16">
        <f t="shared" si="0"/>
        <v>0</v>
      </c>
      <c r="O313" s="16">
        <f t="shared" si="1"/>
        <v>0</v>
      </c>
      <c r="P313" s="240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s="158" customFormat="1" x14ac:dyDescent="0.2">
      <c r="A314" s="179" t="s">
        <v>296</v>
      </c>
      <c r="B314" s="144">
        <v>99814</v>
      </c>
      <c r="C314" s="145" t="s">
        <v>388</v>
      </c>
      <c r="D314" s="402" t="s">
        <v>944</v>
      </c>
      <c r="E314" s="147" t="s">
        <v>16</v>
      </c>
      <c r="F314" s="146">
        <f>235+F322</f>
        <v>425.08000000000004</v>
      </c>
      <c r="G314" s="27">
        <f>I314*0.8</f>
        <v>1.4640000000000002</v>
      </c>
      <c r="H314" s="27">
        <f>I314*0.2</f>
        <v>0.36600000000000005</v>
      </c>
      <c r="I314" s="147">
        <v>1.83</v>
      </c>
      <c r="J314" s="14">
        <f t="shared" si="186"/>
        <v>2.3605170000000002</v>
      </c>
      <c r="K314" s="15">
        <f t="shared" ref="K314" si="215">J314*F314</f>
        <v>1003.4085663600002</v>
      </c>
      <c r="L314" s="2"/>
      <c r="M314" s="159"/>
      <c r="N314" s="159">
        <f t="shared" ref="N314" si="216">G314*F314</f>
        <v>622.31712000000016</v>
      </c>
      <c r="O314" s="159">
        <f t="shared" ref="O314" si="217">H314*F314</f>
        <v>155.57928000000004</v>
      </c>
      <c r="P314" s="240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s="162" customFormat="1" x14ac:dyDescent="0.2">
      <c r="A315" s="179" t="s">
        <v>297</v>
      </c>
      <c r="B315" s="144">
        <v>98524</v>
      </c>
      <c r="C315" s="145" t="s">
        <v>434</v>
      </c>
      <c r="D315" s="405"/>
      <c r="E315" s="147" t="s">
        <v>16</v>
      </c>
      <c r="F315" s="146">
        <f>F322</f>
        <v>190.08</v>
      </c>
      <c r="G315" s="147">
        <f t="shared" ref="G315:G344" si="218">I315*0.4</f>
        <v>1.736</v>
      </c>
      <c r="H315" s="147">
        <f t="shared" si="169"/>
        <v>2.6039999999999996</v>
      </c>
      <c r="I315" s="147">
        <v>4.34</v>
      </c>
      <c r="J315" s="14">
        <f t="shared" si="186"/>
        <v>5.598166</v>
      </c>
      <c r="K315" s="15">
        <f t="shared" ref="K315:K344" si="219">J315*F315</f>
        <v>1064.09939328</v>
      </c>
      <c r="L315" s="2"/>
      <c r="M315" s="163"/>
      <c r="N315" s="163">
        <f t="shared" ref="N315" si="220">G315*F315</f>
        <v>329.97888</v>
      </c>
      <c r="O315" s="163">
        <f t="shared" ref="O315" si="221">H315*F315</f>
        <v>494.96831999999995</v>
      </c>
      <c r="P315" s="240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30" x14ac:dyDescent="0.2">
      <c r="A316" s="380" t="s">
        <v>298</v>
      </c>
      <c r="B316" s="381" t="s">
        <v>526</v>
      </c>
      <c r="C316" s="382" t="s">
        <v>527</v>
      </c>
      <c r="D316" s="429" t="s">
        <v>1193</v>
      </c>
      <c r="E316" s="383" t="s">
        <v>16</v>
      </c>
      <c r="F316" s="381">
        <f>(8+5)*6*0.5+(37.22+16)*0.8+4*0.2*3+0.8*3*2</f>
        <v>88.775999999999996</v>
      </c>
      <c r="G316" s="383">
        <f t="shared" si="218"/>
        <v>1.4119999999999999</v>
      </c>
      <c r="H316" s="383">
        <f t="shared" si="169"/>
        <v>2.1179999999999999</v>
      </c>
      <c r="I316" s="383">
        <f>3.53</f>
        <v>3.53</v>
      </c>
      <c r="J316" s="384">
        <f t="shared" si="186"/>
        <v>4.5533469999999996</v>
      </c>
      <c r="K316" s="385">
        <f t="shared" si="219"/>
        <v>404.22793327199997</v>
      </c>
      <c r="L316" s="2"/>
      <c r="M316" s="2"/>
      <c r="N316" s="16">
        <f t="shared" si="0"/>
        <v>125.35171199999999</v>
      </c>
      <c r="O316" s="16">
        <f t="shared" si="1"/>
        <v>188.02756799999997</v>
      </c>
      <c r="P316" s="240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30" x14ac:dyDescent="0.2">
      <c r="A317" s="386" t="s">
        <v>299</v>
      </c>
      <c r="B317" s="387" t="s">
        <v>618</v>
      </c>
      <c r="C317" s="388" t="s">
        <v>619</v>
      </c>
      <c r="D317" s="430"/>
      <c r="E317" s="389" t="s">
        <v>16</v>
      </c>
      <c r="F317" s="381">
        <f>(8+5)*6*0.5+(37.22+16)*0.8+4*0.2*3+0.8*3*2</f>
        <v>88.775999999999996</v>
      </c>
      <c r="G317" s="383">
        <f t="shared" si="218"/>
        <v>10.784000000000001</v>
      </c>
      <c r="H317" s="383">
        <f t="shared" si="169"/>
        <v>16.175999999999998</v>
      </c>
      <c r="I317" s="389">
        <f>ROUND(11.98*1.5*1.5,2)</f>
        <v>26.96</v>
      </c>
      <c r="J317" s="384">
        <f t="shared" si="186"/>
        <v>34.775704000000005</v>
      </c>
      <c r="K317" s="385">
        <f t="shared" si="219"/>
        <v>3087.2478983040005</v>
      </c>
      <c r="L317" s="2"/>
      <c r="M317" s="2"/>
      <c r="N317" s="16">
        <f t="shared" si="0"/>
        <v>957.36038400000007</v>
      </c>
      <c r="O317" s="16">
        <f t="shared" si="1"/>
        <v>1436.0405759999999</v>
      </c>
      <c r="P317" s="240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45" x14ac:dyDescent="0.2">
      <c r="A318" s="17" t="s">
        <v>300</v>
      </c>
      <c r="B318" s="18">
        <v>97649</v>
      </c>
      <c r="C318" s="19" t="s">
        <v>301</v>
      </c>
      <c r="D318" s="410" t="s">
        <v>945</v>
      </c>
      <c r="E318" s="20" t="s">
        <v>16</v>
      </c>
      <c r="F318" s="39">
        <f>ROUND(2.8*38+3.25*8.25,2)</f>
        <v>133.21</v>
      </c>
      <c r="G318" s="147">
        <f t="shared" si="218"/>
        <v>1.7600000000000002</v>
      </c>
      <c r="H318" s="147">
        <f t="shared" si="169"/>
        <v>2.64</v>
      </c>
      <c r="I318" s="21">
        <v>4.4000000000000004</v>
      </c>
      <c r="J318" s="14">
        <f t="shared" si="186"/>
        <v>5.6755600000000008</v>
      </c>
      <c r="K318" s="15">
        <f t="shared" si="219"/>
        <v>756.04134760000011</v>
      </c>
      <c r="L318" s="2"/>
      <c r="M318" s="2"/>
      <c r="N318" s="16">
        <f t="shared" si="0"/>
        <v>234.44960000000003</v>
      </c>
      <c r="O318" s="16">
        <f t="shared" si="1"/>
        <v>351.67440000000005</v>
      </c>
      <c r="P318" s="240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30" x14ac:dyDescent="0.2">
      <c r="A319" s="23" t="s">
        <v>302</v>
      </c>
      <c r="B319" s="33">
        <v>94213</v>
      </c>
      <c r="C319" s="34" t="s">
        <v>303</v>
      </c>
      <c r="D319" s="408"/>
      <c r="E319" s="35" t="s">
        <v>16</v>
      </c>
      <c r="F319" s="39">
        <f>ROUND(2.8*38+3.25*8.25,2)</f>
        <v>133.21</v>
      </c>
      <c r="G319" s="147">
        <f t="shared" si="218"/>
        <v>25.78</v>
      </c>
      <c r="H319" s="147">
        <f t="shared" si="169"/>
        <v>38.67</v>
      </c>
      <c r="I319" s="36">
        <v>64.45</v>
      </c>
      <c r="J319" s="14">
        <f t="shared" si="186"/>
        <v>83.134055000000004</v>
      </c>
      <c r="K319" s="15">
        <f t="shared" si="219"/>
        <v>11074.28746655</v>
      </c>
      <c r="L319" s="2"/>
      <c r="M319" s="2"/>
      <c r="N319" s="16">
        <f t="shared" si="0"/>
        <v>3434.1538000000005</v>
      </c>
      <c r="O319" s="16">
        <f t="shared" si="1"/>
        <v>5151.230700000001</v>
      </c>
      <c r="P319" s="240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81" customHeight="1" x14ac:dyDescent="0.2">
      <c r="A320" s="24" t="s">
        <v>304</v>
      </c>
      <c r="B320" s="25">
        <v>100327</v>
      </c>
      <c r="C320" s="26" t="s">
        <v>305</v>
      </c>
      <c r="D320" s="26" t="s">
        <v>946</v>
      </c>
      <c r="E320" s="27" t="s">
        <v>47</v>
      </c>
      <c r="F320" s="41">
        <f>(38+2.8*2+3.25*2+8.25)+(5.1+10.45+4.3+0.95*2)</f>
        <v>80.099999999999994</v>
      </c>
      <c r="G320" s="147">
        <f t="shared" si="218"/>
        <v>22.668000000000003</v>
      </c>
      <c r="H320" s="147">
        <f t="shared" si="169"/>
        <v>34.002000000000002</v>
      </c>
      <c r="I320" s="28">
        <v>56.67</v>
      </c>
      <c r="J320" s="14">
        <f t="shared" si="186"/>
        <v>73.098633000000007</v>
      </c>
      <c r="K320" s="15">
        <f t="shared" si="219"/>
        <v>5855.2005033000005</v>
      </c>
      <c r="L320" s="2"/>
      <c r="M320" s="16"/>
      <c r="N320" s="16">
        <f t="shared" si="0"/>
        <v>1815.7068000000002</v>
      </c>
      <c r="O320" s="16">
        <f t="shared" si="1"/>
        <v>2723.5601999999999</v>
      </c>
      <c r="P320" s="240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30" x14ac:dyDescent="0.2">
      <c r="A321" s="24" t="s">
        <v>306</v>
      </c>
      <c r="B321" s="45" t="s">
        <v>313</v>
      </c>
      <c r="C321" s="26" t="s">
        <v>314</v>
      </c>
      <c r="D321" s="26" t="s">
        <v>947</v>
      </c>
      <c r="E321" s="27" t="s">
        <v>31</v>
      </c>
      <c r="F321" s="41">
        <v>5</v>
      </c>
      <c r="G321" s="147">
        <f t="shared" si="218"/>
        <v>306.88800000000003</v>
      </c>
      <c r="H321" s="147">
        <f t="shared" si="169"/>
        <v>460.33199999999999</v>
      </c>
      <c r="I321" s="28">
        <v>767.22</v>
      </c>
      <c r="J321" s="14">
        <f t="shared" si="186"/>
        <v>989.63707800000009</v>
      </c>
      <c r="K321" s="15">
        <f t="shared" si="219"/>
        <v>4948.1853900000006</v>
      </c>
      <c r="L321" s="2"/>
      <c r="M321" s="16"/>
      <c r="N321" s="16">
        <f>G321*F321</f>
        <v>1534.44</v>
      </c>
      <c r="O321" s="16">
        <f>H321*F321</f>
        <v>2301.66</v>
      </c>
      <c r="P321" s="240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60" x14ac:dyDescent="0.2">
      <c r="A322" s="166" t="s">
        <v>547</v>
      </c>
      <c r="B322" s="152">
        <v>98557</v>
      </c>
      <c r="C322" s="153" t="s">
        <v>575</v>
      </c>
      <c r="D322" s="153" t="s">
        <v>1226</v>
      </c>
      <c r="E322" s="155" t="s">
        <v>16</v>
      </c>
      <c r="F322" s="156">
        <f>ROUND((106+38)*(0.12+0.5+0.2+0.5),2)</f>
        <v>190.08</v>
      </c>
      <c r="G322" s="147">
        <f t="shared" si="218"/>
        <v>20.288</v>
      </c>
      <c r="H322" s="147">
        <f t="shared" si="169"/>
        <v>30.431999999999999</v>
      </c>
      <c r="I322" s="155">
        <v>50.72</v>
      </c>
      <c r="J322" s="14">
        <f t="shared" si="186"/>
        <v>65.423727999999997</v>
      </c>
      <c r="K322" s="15">
        <f t="shared" si="219"/>
        <v>12435.742218240001</v>
      </c>
      <c r="L322" s="2"/>
      <c r="M322" s="16"/>
      <c r="N322" s="16">
        <f t="shared" si="0"/>
        <v>3856.3430400000002</v>
      </c>
      <c r="O322" s="16">
        <f t="shared" si="1"/>
        <v>5784.5145600000005</v>
      </c>
      <c r="P322" s="240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s="213" customFormat="1" ht="45" x14ac:dyDescent="0.2">
      <c r="A323" s="166" t="s">
        <v>549</v>
      </c>
      <c r="B323" s="152" t="s">
        <v>836</v>
      </c>
      <c r="C323" s="153" t="s">
        <v>837</v>
      </c>
      <c r="D323" s="153" t="s">
        <v>838</v>
      </c>
      <c r="E323" s="155" t="s">
        <v>47</v>
      </c>
      <c r="F323" s="156">
        <f>106+38</f>
        <v>144</v>
      </c>
      <c r="G323" s="147">
        <f t="shared" si="218"/>
        <v>83.56</v>
      </c>
      <c r="H323" s="147">
        <f t="shared" si="169"/>
        <v>125.34</v>
      </c>
      <c r="I323" s="155">
        <v>208.9</v>
      </c>
      <c r="J323" s="14">
        <f t="shared" si="186"/>
        <v>269.46011000000004</v>
      </c>
      <c r="K323" s="15">
        <f t="shared" si="219"/>
        <v>38802.255840000005</v>
      </c>
      <c r="L323" s="2"/>
      <c r="M323" s="214"/>
      <c r="N323" s="214">
        <f t="shared" si="0"/>
        <v>12032.64</v>
      </c>
      <c r="O323" s="214">
        <f t="shared" si="1"/>
        <v>18048.96</v>
      </c>
      <c r="P323" s="240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s="169" customFormat="1" ht="30" x14ac:dyDescent="0.2">
      <c r="A324" s="24" t="s">
        <v>551</v>
      </c>
      <c r="B324" s="198" t="s">
        <v>548</v>
      </c>
      <c r="C324" s="153" t="s">
        <v>546</v>
      </c>
      <c r="D324" s="153" t="s">
        <v>948</v>
      </c>
      <c r="E324" s="155" t="s">
        <v>31</v>
      </c>
      <c r="F324" s="156">
        <v>14</v>
      </c>
      <c r="G324" s="147">
        <f t="shared" si="218"/>
        <v>33.816000000000003</v>
      </c>
      <c r="H324" s="147">
        <f t="shared" si="169"/>
        <v>50.724000000000004</v>
      </c>
      <c r="I324" s="155">
        <v>84.54</v>
      </c>
      <c r="J324" s="14">
        <f t="shared" si="186"/>
        <v>109.04814600000002</v>
      </c>
      <c r="K324" s="15">
        <f t="shared" si="219"/>
        <v>1526.6740440000003</v>
      </c>
      <c r="L324" s="2"/>
      <c r="M324" s="170"/>
      <c r="N324" s="170">
        <f t="shared" ref="N324" si="222">G324*F324</f>
        <v>473.42400000000004</v>
      </c>
      <c r="O324" s="170">
        <f t="shared" ref="O324" si="223">H324*F324</f>
        <v>710.13600000000008</v>
      </c>
      <c r="P324" s="240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s="169" customFormat="1" ht="45" x14ac:dyDescent="0.2">
      <c r="A325" s="166" t="s">
        <v>834</v>
      </c>
      <c r="B325" s="152">
        <v>89578</v>
      </c>
      <c r="C325" s="153" t="s">
        <v>550</v>
      </c>
      <c r="D325" s="402" t="s">
        <v>552</v>
      </c>
      <c r="E325" s="155" t="s">
        <v>47</v>
      </c>
      <c r="F325" s="156">
        <f>F324*6</f>
        <v>84</v>
      </c>
      <c r="G325" s="147">
        <f t="shared" si="218"/>
        <v>10.244</v>
      </c>
      <c r="H325" s="147">
        <f t="shared" si="169"/>
        <v>15.366</v>
      </c>
      <c r="I325" s="155">
        <v>25.61</v>
      </c>
      <c r="J325" s="14">
        <f t="shared" si="186"/>
        <v>33.034339000000003</v>
      </c>
      <c r="K325" s="15">
        <f t="shared" si="219"/>
        <v>2774.8844760000002</v>
      </c>
      <c r="L325" s="2"/>
      <c r="M325" s="170"/>
      <c r="N325" s="170">
        <f t="shared" ref="N325" si="224">G325*F325</f>
        <v>860.49599999999998</v>
      </c>
      <c r="O325" s="170">
        <f t="shared" ref="O325" si="225">H325*F325</f>
        <v>1290.7439999999999</v>
      </c>
      <c r="P325" s="240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s="169" customFormat="1" ht="60" x14ac:dyDescent="0.2">
      <c r="A326" s="166" t="s">
        <v>835</v>
      </c>
      <c r="B326" s="152">
        <v>91175</v>
      </c>
      <c r="C326" s="153" t="s">
        <v>553</v>
      </c>
      <c r="D326" s="403"/>
      <c r="E326" s="155" t="s">
        <v>47</v>
      </c>
      <c r="F326" s="156">
        <f>F325</f>
        <v>84</v>
      </c>
      <c r="G326" s="147">
        <f t="shared" si="218"/>
        <v>3.448</v>
      </c>
      <c r="H326" s="147">
        <f t="shared" si="169"/>
        <v>5.1719999999999997</v>
      </c>
      <c r="I326" s="155">
        <v>8.6199999999999992</v>
      </c>
      <c r="J326" s="14">
        <f t="shared" si="186"/>
        <v>11.118938</v>
      </c>
      <c r="K326" s="15">
        <f t="shared" si="219"/>
        <v>933.99079200000006</v>
      </c>
      <c r="L326" s="2"/>
      <c r="M326" s="170"/>
      <c r="N326" s="170">
        <f t="shared" ref="N326" si="226">G326*F326</f>
        <v>289.63200000000001</v>
      </c>
      <c r="O326" s="170">
        <f t="shared" ref="O326" si="227">H326*F326</f>
        <v>434.44799999999998</v>
      </c>
      <c r="P326" s="240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s="369" customFormat="1" x14ac:dyDescent="0.2">
      <c r="A327" s="431" t="s">
        <v>1191</v>
      </c>
      <c r="B327" s="432"/>
      <c r="C327" s="432"/>
      <c r="D327" s="432"/>
      <c r="E327" s="432"/>
      <c r="F327" s="432"/>
      <c r="G327" s="432"/>
      <c r="H327" s="432"/>
      <c r="I327" s="432"/>
      <c r="J327" s="433"/>
      <c r="K327" s="393"/>
      <c r="L327" s="2"/>
      <c r="M327" s="368"/>
      <c r="N327" s="368"/>
      <c r="O327" s="368"/>
      <c r="P327" s="240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45" x14ac:dyDescent="0.2">
      <c r="A328" s="166" t="s">
        <v>307</v>
      </c>
      <c r="B328" s="152" t="s">
        <v>833</v>
      </c>
      <c r="C328" s="153" t="s">
        <v>832</v>
      </c>
      <c r="D328" s="153" t="s">
        <v>631</v>
      </c>
      <c r="E328" s="155" t="s">
        <v>16</v>
      </c>
      <c r="F328" s="152">
        <v>626.89</v>
      </c>
      <c r="G328" s="147">
        <f t="shared" si="218"/>
        <v>44.692000000000007</v>
      </c>
      <c r="H328" s="147">
        <f t="shared" si="169"/>
        <v>67.037999999999997</v>
      </c>
      <c r="I328" s="155">
        <v>111.73</v>
      </c>
      <c r="J328" s="14">
        <f t="shared" si="186"/>
        <v>144.12052700000001</v>
      </c>
      <c r="K328" s="15">
        <f t="shared" si="219"/>
        <v>90347.717171030003</v>
      </c>
      <c r="L328" s="2"/>
      <c r="M328" s="16"/>
      <c r="N328" s="16">
        <f t="shared" si="0"/>
        <v>28016.967880000004</v>
      </c>
      <c r="O328" s="16">
        <f t="shared" si="1"/>
        <v>42025.451819999995</v>
      </c>
      <c r="P328" s="240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s="369" customFormat="1" x14ac:dyDescent="0.2">
      <c r="A329" s="431"/>
      <c r="B329" s="432"/>
      <c r="C329" s="432"/>
      <c r="D329" s="432"/>
      <c r="E329" s="432"/>
      <c r="F329" s="432"/>
      <c r="G329" s="432"/>
      <c r="H329" s="432"/>
      <c r="I329" s="432"/>
      <c r="J329" s="433"/>
      <c r="K329" s="393"/>
      <c r="L329" s="2"/>
      <c r="M329" s="368"/>
      <c r="N329" s="368"/>
      <c r="O329" s="368"/>
      <c r="P329" s="240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45" x14ac:dyDescent="0.2">
      <c r="A330" s="166" t="s">
        <v>308</v>
      </c>
      <c r="B330" s="152" t="s">
        <v>435</v>
      </c>
      <c r="C330" s="153" t="s">
        <v>436</v>
      </c>
      <c r="D330" s="402" t="s">
        <v>309</v>
      </c>
      <c r="E330" s="155" t="s">
        <v>31</v>
      </c>
      <c r="F330" s="156">
        <v>1</v>
      </c>
      <c r="G330" s="147">
        <f t="shared" si="218"/>
        <v>173.22800000000001</v>
      </c>
      <c r="H330" s="147">
        <f t="shared" si="169"/>
        <v>259.84199999999998</v>
      </c>
      <c r="I330" s="155">
        <f>433.07</f>
        <v>433.07</v>
      </c>
      <c r="J330" s="14">
        <f t="shared" si="186"/>
        <v>558.61699299999998</v>
      </c>
      <c r="K330" s="15">
        <f t="shared" si="219"/>
        <v>558.61699299999998</v>
      </c>
      <c r="L330" s="2"/>
      <c r="M330" s="2"/>
      <c r="N330" s="16">
        <f t="shared" si="0"/>
        <v>173.22800000000001</v>
      </c>
      <c r="O330" s="16">
        <f t="shared" si="1"/>
        <v>259.84199999999998</v>
      </c>
      <c r="P330" s="240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s="162" customFormat="1" ht="30" x14ac:dyDescent="0.2">
      <c r="A331" s="166" t="s">
        <v>439</v>
      </c>
      <c r="B331" s="152" t="s">
        <v>438</v>
      </c>
      <c r="C331" s="153" t="s">
        <v>437</v>
      </c>
      <c r="D331" s="403"/>
      <c r="E331" s="155" t="s">
        <v>31</v>
      </c>
      <c r="F331" s="156">
        <v>1</v>
      </c>
      <c r="G331" s="147">
        <f t="shared" si="218"/>
        <v>67.972000000000008</v>
      </c>
      <c r="H331" s="147">
        <f t="shared" si="169"/>
        <v>101.958</v>
      </c>
      <c r="I331" s="155">
        <f>169.93</f>
        <v>169.93</v>
      </c>
      <c r="J331" s="14">
        <f t="shared" si="186"/>
        <v>219.19270700000001</v>
      </c>
      <c r="K331" s="15">
        <f t="shared" si="219"/>
        <v>219.19270700000001</v>
      </c>
      <c r="L331" s="2"/>
      <c r="M331" s="2"/>
      <c r="N331" s="163">
        <f t="shared" ref="N331" si="228">G331*F331</f>
        <v>67.972000000000008</v>
      </c>
      <c r="O331" s="163">
        <f t="shared" ref="O331" si="229">H331*F331</f>
        <v>101.958</v>
      </c>
      <c r="P331" s="240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30" x14ac:dyDescent="0.2">
      <c r="A332" s="24" t="s">
        <v>310</v>
      </c>
      <c r="B332" s="25">
        <v>102513</v>
      </c>
      <c r="C332" s="26" t="s">
        <v>132</v>
      </c>
      <c r="D332" s="46" t="s">
        <v>311</v>
      </c>
      <c r="E332" s="27" t="s">
        <v>16</v>
      </c>
      <c r="F332" s="41">
        <v>1.44</v>
      </c>
      <c r="G332" s="147">
        <f t="shared" si="218"/>
        <v>18.380000000000003</v>
      </c>
      <c r="H332" s="147">
        <f t="shared" si="169"/>
        <v>27.57</v>
      </c>
      <c r="I332" s="28">
        <v>45.95</v>
      </c>
      <c r="J332" s="14">
        <f t="shared" si="186"/>
        <v>59.270905000000006</v>
      </c>
      <c r="K332" s="15">
        <f t="shared" si="219"/>
        <v>85.350103200000007</v>
      </c>
      <c r="L332" s="2"/>
      <c r="M332" s="16"/>
      <c r="N332" s="16">
        <f t="shared" si="0"/>
        <v>26.467200000000002</v>
      </c>
      <c r="O332" s="16">
        <f t="shared" si="1"/>
        <v>39.700800000000001</v>
      </c>
      <c r="P332" s="240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s="171" customFormat="1" x14ac:dyDescent="0.2">
      <c r="A333" s="24" t="s">
        <v>561</v>
      </c>
      <c r="B333" s="25" t="s">
        <v>555</v>
      </c>
      <c r="C333" s="26" t="s">
        <v>557</v>
      </c>
      <c r="D333" s="400" t="s">
        <v>632</v>
      </c>
      <c r="E333" s="35" t="s">
        <v>56</v>
      </c>
      <c r="F333" s="25">
        <f>ROUND(44.47*0.5*1.4,2)</f>
        <v>31.13</v>
      </c>
      <c r="G333" s="147">
        <f t="shared" si="218"/>
        <v>21.391999999999999</v>
      </c>
      <c r="H333" s="147">
        <f t="shared" si="169"/>
        <v>32.087999999999994</v>
      </c>
      <c r="I333" s="28">
        <v>53.48</v>
      </c>
      <c r="J333" s="14">
        <f t="shared" si="186"/>
        <v>68.983851999999999</v>
      </c>
      <c r="K333" s="15">
        <f t="shared" si="219"/>
        <v>2147.4673127599999</v>
      </c>
      <c r="L333" s="2"/>
      <c r="M333" s="2"/>
      <c r="N333" s="174">
        <f t="shared" ref="N333:N339" si="230">G333*F333</f>
        <v>665.93295999999998</v>
      </c>
      <c r="O333" s="174">
        <f t="shared" ref="O333:O339" si="231">H333*F333</f>
        <v>998.8994399999998</v>
      </c>
      <c r="P333" s="240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s="171" customFormat="1" ht="54" customHeight="1" x14ac:dyDescent="0.2">
      <c r="A334" s="24" t="s">
        <v>562</v>
      </c>
      <c r="B334" s="25" t="s">
        <v>559</v>
      </c>
      <c r="C334" s="153" t="s">
        <v>563</v>
      </c>
      <c r="D334" s="401"/>
      <c r="E334" s="35" t="s">
        <v>56</v>
      </c>
      <c r="F334" s="25">
        <f>ROUND(44.47*0.5*1.4,2)</f>
        <v>31.13</v>
      </c>
      <c r="G334" s="147">
        <f t="shared" si="218"/>
        <v>19.840000000000003</v>
      </c>
      <c r="H334" s="147">
        <f t="shared" ref="H334:H355" si="232">I334*0.6</f>
        <v>29.759999999999998</v>
      </c>
      <c r="I334" s="28">
        <v>49.6</v>
      </c>
      <c r="J334" s="14">
        <f t="shared" si="186"/>
        <v>63.979040000000005</v>
      </c>
      <c r="K334" s="15">
        <f t="shared" si="219"/>
        <v>1991.6675152</v>
      </c>
      <c r="L334" s="2"/>
      <c r="M334" s="2"/>
      <c r="N334" s="174">
        <f t="shared" si="230"/>
        <v>617.61920000000009</v>
      </c>
      <c r="O334" s="174">
        <f t="shared" si="231"/>
        <v>926.42879999999991</v>
      </c>
      <c r="P334" s="240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s="210" customFormat="1" ht="45" x14ac:dyDescent="0.2">
      <c r="A335" s="24" t="s">
        <v>561</v>
      </c>
      <c r="B335" s="25" t="s">
        <v>651</v>
      </c>
      <c r="C335" s="26" t="s">
        <v>652</v>
      </c>
      <c r="D335" s="404" t="s">
        <v>665</v>
      </c>
      <c r="E335" s="155" t="s">
        <v>16</v>
      </c>
      <c r="F335" s="25">
        <f>3.6*2</f>
        <v>7.2</v>
      </c>
      <c r="G335" s="147">
        <f t="shared" si="218"/>
        <v>94.732000000000014</v>
      </c>
      <c r="H335" s="147">
        <f t="shared" si="232"/>
        <v>142.09800000000001</v>
      </c>
      <c r="I335" s="28">
        <v>236.83</v>
      </c>
      <c r="J335" s="14">
        <f t="shared" si="186"/>
        <v>305.48701700000004</v>
      </c>
      <c r="K335" s="15">
        <f t="shared" si="219"/>
        <v>2199.5065224000004</v>
      </c>
      <c r="L335" s="2"/>
      <c r="M335" s="2"/>
      <c r="N335" s="211">
        <f t="shared" si="230"/>
        <v>682.07040000000006</v>
      </c>
      <c r="O335" s="211">
        <f t="shared" si="231"/>
        <v>1023.1056000000001</v>
      </c>
      <c r="P335" s="240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s="210" customFormat="1" ht="54" customHeight="1" x14ac:dyDescent="0.2">
      <c r="A336" s="24" t="s">
        <v>562</v>
      </c>
      <c r="B336" s="25" t="s">
        <v>653</v>
      </c>
      <c r="C336" s="153" t="s">
        <v>654</v>
      </c>
      <c r="D336" s="400"/>
      <c r="E336" s="35" t="s">
        <v>31</v>
      </c>
      <c r="F336" s="25">
        <v>2</v>
      </c>
      <c r="G336" s="147">
        <f t="shared" si="218"/>
        <v>423.71199999999999</v>
      </c>
      <c r="H336" s="147">
        <f t="shared" si="232"/>
        <v>635.56799999999998</v>
      </c>
      <c r="I336" s="28">
        <v>1059.28</v>
      </c>
      <c r="J336" s="14">
        <f t="shared" si="186"/>
        <v>1366.365272</v>
      </c>
      <c r="K336" s="15">
        <f t="shared" si="219"/>
        <v>2732.730544</v>
      </c>
      <c r="L336" s="2"/>
      <c r="M336" s="2"/>
      <c r="N336" s="211">
        <f t="shared" ref="N336:N338" si="233">G336*F336</f>
        <v>847.42399999999998</v>
      </c>
      <c r="O336" s="211">
        <f t="shared" ref="O336:O338" si="234">H336*F336</f>
        <v>1271.136</v>
      </c>
      <c r="P336" s="240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s="210" customFormat="1" ht="30" x14ac:dyDescent="0.2">
      <c r="A337" s="24" t="s">
        <v>646</v>
      </c>
      <c r="B337" s="25" t="s">
        <v>655</v>
      </c>
      <c r="C337" s="26" t="s">
        <v>656</v>
      </c>
      <c r="D337" s="400"/>
      <c r="E337" s="35" t="s">
        <v>31</v>
      </c>
      <c r="F337" s="25">
        <v>2</v>
      </c>
      <c r="G337" s="147">
        <f t="shared" si="218"/>
        <v>12.68</v>
      </c>
      <c r="H337" s="147">
        <f t="shared" si="232"/>
        <v>19.02</v>
      </c>
      <c r="I337" s="28">
        <v>31.7</v>
      </c>
      <c r="J337" s="14">
        <f t="shared" si="186"/>
        <v>40.889830000000003</v>
      </c>
      <c r="K337" s="15">
        <f t="shared" si="219"/>
        <v>81.779660000000007</v>
      </c>
      <c r="L337" s="2"/>
      <c r="M337" s="2"/>
      <c r="N337" s="211">
        <f t="shared" si="233"/>
        <v>25.36</v>
      </c>
      <c r="O337" s="211">
        <f t="shared" si="234"/>
        <v>38.04</v>
      </c>
      <c r="P337" s="240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s="210" customFormat="1" ht="54" customHeight="1" x14ac:dyDescent="0.2">
      <c r="A338" s="24" t="s">
        <v>647</v>
      </c>
      <c r="B338" s="25" t="s">
        <v>657</v>
      </c>
      <c r="C338" s="153" t="s">
        <v>658</v>
      </c>
      <c r="D338" s="400"/>
      <c r="E338" s="35" t="s">
        <v>31</v>
      </c>
      <c r="F338" s="25">
        <v>2</v>
      </c>
      <c r="G338" s="147">
        <f t="shared" si="218"/>
        <v>18.836000000000002</v>
      </c>
      <c r="H338" s="147">
        <f t="shared" si="232"/>
        <v>28.254000000000001</v>
      </c>
      <c r="I338" s="28">
        <v>47.09</v>
      </c>
      <c r="J338" s="14">
        <f t="shared" si="186"/>
        <v>60.741391000000007</v>
      </c>
      <c r="K338" s="15">
        <f t="shared" si="219"/>
        <v>121.48278200000001</v>
      </c>
      <c r="L338" s="2"/>
      <c r="M338" s="2"/>
      <c r="N338" s="211">
        <f t="shared" si="233"/>
        <v>37.672000000000004</v>
      </c>
      <c r="O338" s="211">
        <f t="shared" si="234"/>
        <v>56.508000000000003</v>
      </c>
      <c r="P338" s="240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s="210" customFormat="1" ht="54" customHeight="1" x14ac:dyDescent="0.2">
      <c r="A339" s="24" t="s">
        <v>648</v>
      </c>
      <c r="B339" s="25" t="s">
        <v>659</v>
      </c>
      <c r="C339" s="153" t="s">
        <v>660</v>
      </c>
      <c r="D339" s="400"/>
      <c r="E339" s="35" t="s">
        <v>31</v>
      </c>
      <c r="F339" s="25">
        <v>4</v>
      </c>
      <c r="G339" s="147">
        <f t="shared" si="218"/>
        <v>7.604000000000001</v>
      </c>
      <c r="H339" s="147">
        <f t="shared" si="232"/>
        <v>11.406000000000001</v>
      </c>
      <c r="I339" s="28">
        <v>19.010000000000002</v>
      </c>
      <c r="J339" s="14">
        <f t="shared" si="186"/>
        <v>24.520999000000003</v>
      </c>
      <c r="K339" s="15">
        <f t="shared" si="219"/>
        <v>98.083996000000013</v>
      </c>
      <c r="L339" s="2"/>
      <c r="M339" s="2"/>
      <c r="N339" s="211">
        <f t="shared" si="230"/>
        <v>30.416000000000004</v>
      </c>
      <c r="O339" s="211">
        <f t="shared" si="231"/>
        <v>45.624000000000002</v>
      </c>
      <c r="P339" s="240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s="210" customFormat="1" ht="45" x14ac:dyDescent="0.2">
      <c r="A340" s="24" t="s">
        <v>649</v>
      </c>
      <c r="B340" s="25" t="s">
        <v>661</v>
      </c>
      <c r="C340" s="26" t="s">
        <v>662</v>
      </c>
      <c r="D340" s="400"/>
      <c r="E340" s="35" t="s">
        <v>31</v>
      </c>
      <c r="F340" s="25">
        <v>2</v>
      </c>
      <c r="G340" s="147">
        <f t="shared" si="218"/>
        <v>10.148000000000001</v>
      </c>
      <c r="H340" s="147">
        <f t="shared" si="232"/>
        <v>15.222</v>
      </c>
      <c r="I340" s="28">
        <v>25.37</v>
      </c>
      <c r="J340" s="14">
        <f t="shared" si="186"/>
        <v>32.724763000000003</v>
      </c>
      <c r="K340" s="15">
        <f t="shared" si="219"/>
        <v>65.449526000000006</v>
      </c>
      <c r="L340" s="2"/>
      <c r="M340" s="2"/>
      <c r="N340" s="211">
        <f t="shared" ref="N340:N344" si="235">G340*F340</f>
        <v>20.296000000000003</v>
      </c>
      <c r="O340" s="211">
        <f t="shared" ref="O340:O344" si="236">H340*F340</f>
        <v>30.443999999999999</v>
      </c>
      <c r="P340" s="240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s="210" customFormat="1" ht="54" customHeight="1" x14ac:dyDescent="0.2">
      <c r="A341" s="24" t="s">
        <v>650</v>
      </c>
      <c r="B341" s="25" t="s">
        <v>663</v>
      </c>
      <c r="C341" s="153" t="s">
        <v>664</v>
      </c>
      <c r="D341" s="400"/>
      <c r="E341" s="35" t="s">
        <v>31</v>
      </c>
      <c r="F341" s="25">
        <v>1</v>
      </c>
      <c r="G341" s="147">
        <f t="shared" si="218"/>
        <v>21.028000000000002</v>
      </c>
      <c r="H341" s="147">
        <f t="shared" si="232"/>
        <v>31.541999999999998</v>
      </c>
      <c r="I341" s="28">
        <v>52.57</v>
      </c>
      <c r="J341" s="14">
        <f t="shared" si="186"/>
        <v>67.810043000000007</v>
      </c>
      <c r="K341" s="15">
        <f t="shared" si="219"/>
        <v>67.810043000000007</v>
      </c>
      <c r="L341" s="2"/>
      <c r="M341" s="2"/>
      <c r="N341" s="211">
        <f t="shared" si="235"/>
        <v>21.028000000000002</v>
      </c>
      <c r="O341" s="211">
        <f t="shared" si="236"/>
        <v>31.541999999999998</v>
      </c>
      <c r="P341" s="240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s="395" customFormat="1" ht="54" customHeight="1" x14ac:dyDescent="0.2">
      <c r="A342" s="24" t="s">
        <v>1228</v>
      </c>
      <c r="B342" s="25" t="s">
        <v>1230</v>
      </c>
      <c r="C342" s="153" t="s">
        <v>1231</v>
      </c>
      <c r="D342" s="400"/>
      <c r="E342" s="35" t="s">
        <v>47</v>
      </c>
      <c r="F342" s="25">
        <v>14</v>
      </c>
      <c r="G342" s="147">
        <f t="shared" ref="G342" si="237">I342*0.4</f>
        <v>7.4040000000000008</v>
      </c>
      <c r="H342" s="147">
        <f t="shared" ref="H342" si="238">I342*0.6</f>
        <v>11.106</v>
      </c>
      <c r="I342" s="28">
        <v>18.510000000000002</v>
      </c>
      <c r="J342" s="14">
        <f t="shared" ref="J342" si="239">I342*(1+$K$11)</f>
        <v>23.876049000000002</v>
      </c>
      <c r="K342" s="15">
        <f t="shared" ref="K342" si="240">J342*F342</f>
        <v>334.26468600000004</v>
      </c>
      <c r="L342" s="2"/>
      <c r="M342" s="2"/>
      <c r="N342" s="394">
        <f t="shared" ref="N342" si="241">G342*F342</f>
        <v>103.65600000000001</v>
      </c>
      <c r="O342" s="394">
        <f t="shared" ref="O342" si="242">H342*F342</f>
        <v>155.48400000000001</v>
      </c>
      <c r="P342" s="240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s="395" customFormat="1" ht="54" customHeight="1" x14ac:dyDescent="0.2">
      <c r="A343" s="24" t="s">
        <v>1229</v>
      </c>
      <c r="B343" s="25" t="s">
        <v>1232</v>
      </c>
      <c r="C343" s="153" t="s">
        <v>1233</v>
      </c>
      <c r="D343" s="401"/>
      <c r="E343" s="35" t="s">
        <v>47</v>
      </c>
      <c r="F343" s="25">
        <v>14</v>
      </c>
      <c r="G343" s="147">
        <f t="shared" ref="G343" si="243">I343*0.4</f>
        <v>4.8479999999999999</v>
      </c>
      <c r="H343" s="147">
        <f t="shared" ref="H343" si="244">I343*0.6</f>
        <v>7.2719999999999994</v>
      </c>
      <c r="I343" s="28">
        <v>12.12</v>
      </c>
      <c r="J343" s="14">
        <f t="shared" ref="J343" si="245">I343*(1+$K$11)</f>
        <v>15.633588</v>
      </c>
      <c r="K343" s="15">
        <f t="shared" ref="K343" si="246">J343*F343</f>
        <v>218.87023199999999</v>
      </c>
      <c r="L343" s="2"/>
      <c r="M343" s="2"/>
      <c r="N343" s="394">
        <f t="shared" ref="N343" si="247">G343*F343</f>
        <v>67.872</v>
      </c>
      <c r="O343" s="394">
        <f t="shared" ref="O343" si="248">H343*F343</f>
        <v>101.80799999999999</v>
      </c>
      <c r="P343" s="240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s="374" customFormat="1" ht="45" x14ac:dyDescent="0.2">
      <c r="A344" s="166" t="s">
        <v>1195</v>
      </c>
      <c r="B344" s="152" t="s">
        <v>1198</v>
      </c>
      <c r="C344" s="153" t="s">
        <v>482</v>
      </c>
      <c r="D344" s="402" t="s">
        <v>1202</v>
      </c>
      <c r="E344" s="155" t="s">
        <v>16</v>
      </c>
      <c r="F344" s="156">
        <f>164.95+72.1+(9.87+2.85)*0.84+1.9*1.2+3.8*0.84*2</f>
        <v>256.39879999999999</v>
      </c>
      <c r="G344" s="147">
        <f t="shared" si="218"/>
        <v>2.8000000000000003</v>
      </c>
      <c r="H344" s="147">
        <f t="shared" si="232"/>
        <v>4.2</v>
      </c>
      <c r="I344" s="155">
        <v>7</v>
      </c>
      <c r="J344" s="14">
        <f t="shared" ref="J344" si="249">I344*(1+$K$11)</f>
        <v>9.029300000000001</v>
      </c>
      <c r="K344" s="15">
        <f t="shared" si="219"/>
        <v>2315.1016848400004</v>
      </c>
      <c r="L344" s="2"/>
      <c r="M344" s="373"/>
      <c r="N344" s="373">
        <f t="shared" si="235"/>
        <v>717.91664000000003</v>
      </c>
      <c r="O344" s="373">
        <f t="shared" si="236"/>
        <v>1076.8749600000001</v>
      </c>
      <c r="P344" s="240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s="374" customFormat="1" ht="60" x14ac:dyDescent="0.2">
      <c r="A345" s="166" t="s">
        <v>1196</v>
      </c>
      <c r="B345" s="152" t="s">
        <v>1197</v>
      </c>
      <c r="C345" s="153" t="s">
        <v>1227</v>
      </c>
      <c r="D345" s="405"/>
      <c r="E345" s="155" t="s">
        <v>16</v>
      </c>
      <c r="F345" s="156">
        <f>F344</f>
        <v>256.39879999999999</v>
      </c>
      <c r="G345" s="147">
        <f t="shared" ref="G345:G346" si="250">I345*0.4</f>
        <v>20.908000000000001</v>
      </c>
      <c r="H345" s="147">
        <f t="shared" ref="H345:H346" si="251">I345*0.6</f>
        <v>31.362000000000002</v>
      </c>
      <c r="I345" s="155">
        <v>52.27</v>
      </c>
      <c r="J345" s="14">
        <f t="shared" si="186"/>
        <v>67.423073000000002</v>
      </c>
      <c r="K345" s="15">
        <f t="shared" ref="K345:K346" si="252">J345*F345</f>
        <v>17287.195009512401</v>
      </c>
      <c r="L345" s="2"/>
      <c r="M345" s="373"/>
      <c r="N345" s="373">
        <f t="shared" ref="N345:N346" si="253">G345*F345</f>
        <v>5360.7861104000003</v>
      </c>
      <c r="O345" s="373">
        <f t="shared" ref="O345:O346" si="254">H345*F345</f>
        <v>8041.1791656000005</v>
      </c>
      <c r="P345" s="240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s="374" customFormat="1" ht="30" x14ac:dyDescent="0.2">
      <c r="A346" s="166" t="s">
        <v>1199</v>
      </c>
      <c r="B346" s="152" t="s">
        <v>934</v>
      </c>
      <c r="C346" s="153" t="s">
        <v>383</v>
      </c>
      <c r="D346" s="405"/>
      <c r="E346" s="155" t="s">
        <v>16</v>
      </c>
      <c r="F346" s="156">
        <f>F344</f>
        <v>256.39879999999999</v>
      </c>
      <c r="G346" s="147">
        <f t="shared" si="250"/>
        <v>1.4160000000000001</v>
      </c>
      <c r="H346" s="147">
        <f t="shared" si="251"/>
        <v>2.1240000000000001</v>
      </c>
      <c r="I346" s="155">
        <v>3.54</v>
      </c>
      <c r="J346" s="14">
        <f t="shared" si="186"/>
        <v>4.5662460000000005</v>
      </c>
      <c r="K346" s="15">
        <f t="shared" si="252"/>
        <v>1170.7799949048001</v>
      </c>
      <c r="L346" s="2"/>
      <c r="M346" s="373"/>
      <c r="N346" s="373">
        <f t="shared" si="253"/>
        <v>363.06070080000001</v>
      </c>
      <c r="O346" s="373">
        <f t="shared" si="254"/>
        <v>544.59105120000004</v>
      </c>
      <c r="P346" s="240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s="374" customFormat="1" ht="30" x14ac:dyDescent="0.2">
      <c r="A347" s="166" t="s">
        <v>1200</v>
      </c>
      <c r="B347" s="152" t="s">
        <v>1201</v>
      </c>
      <c r="C347" s="153" t="s">
        <v>384</v>
      </c>
      <c r="D347" s="403"/>
      <c r="E347" s="155" t="s">
        <v>16</v>
      </c>
      <c r="F347" s="156">
        <f>F344</f>
        <v>256.39879999999999</v>
      </c>
      <c r="G347" s="147">
        <f t="shared" ref="G347" si="255">I347*0.4</f>
        <v>4.7600000000000007</v>
      </c>
      <c r="H347" s="147">
        <f t="shared" ref="H347" si="256">I347*0.6</f>
        <v>7.14</v>
      </c>
      <c r="I347" s="155">
        <v>11.9</v>
      </c>
      <c r="J347" s="14">
        <f t="shared" ref="J347" si="257">I347*(1+$K$11)</f>
        <v>15.349810000000002</v>
      </c>
      <c r="K347" s="15">
        <f t="shared" ref="K347" si="258">J347*F347</f>
        <v>3935.6728642280004</v>
      </c>
      <c r="L347" s="2"/>
      <c r="M347" s="373"/>
      <c r="N347" s="373">
        <f t="shared" ref="N347" si="259">G347*F347</f>
        <v>1220.458288</v>
      </c>
      <c r="O347" s="373">
        <f t="shared" ref="O347" si="260">H347*F347</f>
        <v>1830.6874319999999</v>
      </c>
      <c r="P347" s="240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8.75" x14ac:dyDescent="0.2">
      <c r="A348" s="345" t="s">
        <v>312</v>
      </c>
      <c r="B348" s="346"/>
      <c r="C348" s="346"/>
      <c r="D348" s="354"/>
      <c r="E348" s="54"/>
      <c r="F348" s="54"/>
      <c r="G348" s="54"/>
      <c r="H348" s="54"/>
      <c r="I348" s="55"/>
      <c r="J348" s="55"/>
      <c r="K348" s="56">
        <f>SUM(K349:K353)</f>
        <v>19196.761323600003</v>
      </c>
      <c r="L348" s="2"/>
      <c r="M348" s="2"/>
      <c r="N348" s="16">
        <f t="shared" si="0"/>
        <v>0</v>
      </c>
      <c r="O348" s="16">
        <f t="shared" si="1"/>
        <v>0</v>
      </c>
      <c r="P348" s="240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30" x14ac:dyDescent="0.2">
      <c r="A349" s="24" t="s">
        <v>315</v>
      </c>
      <c r="B349" s="45" t="s">
        <v>316</v>
      </c>
      <c r="C349" s="26" t="s">
        <v>317</v>
      </c>
      <c r="D349" s="26" t="s">
        <v>318</v>
      </c>
      <c r="E349" s="27" t="s">
        <v>31</v>
      </c>
      <c r="F349" s="25">
        <v>1</v>
      </c>
      <c r="G349" s="147">
        <f t="shared" ref="G349" si="261">I349*0.4</f>
        <v>632</v>
      </c>
      <c r="H349" s="147">
        <f t="shared" si="232"/>
        <v>948</v>
      </c>
      <c r="I349" s="28">
        <v>1580</v>
      </c>
      <c r="J349" s="14">
        <f t="shared" si="186"/>
        <v>2038.0420000000001</v>
      </c>
      <c r="K349" s="15">
        <f t="shared" ref="K349" si="262">J349*F349</f>
        <v>2038.0420000000001</v>
      </c>
      <c r="L349" s="2"/>
      <c r="M349" s="16"/>
      <c r="N349" s="16">
        <f t="shared" si="0"/>
        <v>632</v>
      </c>
      <c r="O349" s="16">
        <f t="shared" si="1"/>
        <v>948</v>
      </c>
      <c r="P349" s="240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30" x14ac:dyDescent="0.2">
      <c r="A350" s="24" t="s">
        <v>319</v>
      </c>
      <c r="B350" s="45" t="s">
        <v>320</v>
      </c>
      <c r="C350" s="26" t="s">
        <v>321</v>
      </c>
      <c r="D350" s="26" t="s">
        <v>322</v>
      </c>
      <c r="E350" s="27" t="s">
        <v>31</v>
      </c>
      <c r="F350" s="25">
        <v>8</v>
      </c>
      <c r="G350" s="147">
        <f t="shared" ref="G350:G353" si="263">I350*0.4</f>
        <v>12.76</v>
      </c>
      <c r="H350" s="147">
        <f t="shared" si="232"/>
        <v>19.139999999999997</v>
      </c>
      <c r="I350" s="28">
        <v>31.9</v>
      </c>
      <c r="J350" s="14">
        <f t="shared" si="186"/>
        <v>41.14781</v>
      </c>
      <c r="K350" s="15">
        <f t="shared" ref="K350:K353" si="264">J350*F350</f>
        <v>329.18248</v>
      </c>
      <c r="L350" s="2"/>
      <c r="M350" s="16"/>
      <c r="N350" s="16">
        <f t="shared" si="0"/>
        <v>102.08</v>
      </c>
      <c r="O350" s="16">
        <f t="shared" si="1"/>
        <v>153.11999999999998</v>
      </c>
      <c r="P350" s="240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60" x14ac:dyDescent="0.2">
      <c r="A351" s="57" t="s">
        <v>323</v>
      </c>
      <c r="B351" s="45" t="s">
        <v>324</v>
      </c>
      <c r="C351" s="59" t="s">
        <v>444</v>
      </c>
      <c r="D351" s="59" t="s">
        <v>325</v>
      </c>
      <c r="E351" s="60" t="s">
        <v>31</v>
      </c>
      <c r="F351" s="58">
        <v>12</v>
      </c>
      <c r="G351" s="147">
        <f t="shared" si="263"/>
        <v>167.87200000000001</v>
      </c>
      <c r="H351" s="147">
        <f t="shared" si="232"/>
        <v>251.80799999999999</v>
      </c>
      <c r="I351" s="61">
        <v>419.68</v>
      </c>
      <c r="J351" s="14">
        <f t="shared" si="186"/>
        <v>541.34523200000001</v>
      </c>
      <c r="K351" s="15">
        <f t="shared" si="264"/>
        <v>6496.1427839999997</v>
      </c>
      <c r="L351" s="2"/>
      <c r="M351" s="16"/>
      <c r="N351" s="16">
        <f t="shared" si="0"/>
        <v>2014.4640000000002</v>
      </c>
      <c r="O351" s="16">
        <f t="shared" si="1"/>
        <v>3021.6959999999999</v>
      </c>
      <c r="P351" s="240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s="162" customFormat="1" ht="45" x14ac:dyDescent="0.2">
      <c r="A352" s="193" t="s">
        <v>443</v>
      </c>
      <c r="B352" s="198" t="s">
        <v>372</v>
      </c>
      <c r="C352" s="195" t="s">
        <v>571</v>
      </c>
      <c r="D352" s="195" t="s">
        <v>572</v>
      </c>
      <c r="E352" s="196" t="s">
        <v>31</v>
      </c>
      <c r="F352" s="194">
        <v>10</v>
      </c>
      <c r="G352" s="147">
        <f t="shared" si="263"/>
        <v>208.98800000000003</v>
      </c>
      <c r="H352" s="147">
        <f t="shared" si="232"/>
        <v>313.48200000000003</v>
      </c>
      <c r="I352" s="196">
        <v>522.47</v>
      </c>
      <c r="J352" s="14">
        <f t="shared" si="186"/>
        <v>673.93405300000006</v>
      </c>
      <c r="K352" s="15">
        <f t="shared" si="264"/>
        <v>6739.3405300000004</v>
      </c>
      <c r="L352" s="2"/>
      <c r="M352" s="163"/>
      <c r="N352" s="163">
        <f t="shared" ref="N352" si="265">G352*F352</f>
        <v>2089.88</v>
      </c>
      <c r="O352" s="163">
        <f t="shared" ref="O352" si="266">H352*F352</f>
        <v>3134.82</v>
      </c>
      <c r="P352" s="240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30" s="169" customFormat="1" ht="45" x14ac:dyDescent="0.2">
      <c r="A353" s="193" t="s">
        <v>535</v>
      </c>
      <c r="B353" s="198" t="s">
        <v>543</v>
      </c>
      <c r="C353" s="195" t="s">
        <v>542</v>
      </c>
      <c r="D353" s="195" t="s">
        <v>544</v>
      </c>
      <c r="E353" s="196" t="s">
        <v>47</v>
      </c>
      <c r="F353" s="194">
        <f>36.5*2+14.7*2</f>
        <v>102.4</v>
      </c>
      <c r="G353" s="147">
        <f t="shared" si="263"/>
        <v>10.884</v>
      </c>
      <c r="H353" s="147">
        <f t="shared" si="232"/>
        <v>16.326000000000001</v>
      </c>
      <c r="I353" s="196">
        <v>27.21</v>
      </c>
      <c r="J353" s="14">
        <f t="shared" ref="J353:J356" si="267">I353*(1+$K$11)</f>
        <v>35.098179000000002</v>
      </c>
      <c r="K353" s="15">
        <f t="shared" si="264"/>
        <v>3594.0535296000003</v>
      </c>
      <c r="L353" s="2"/>
      <c r="M353" s="170"/>
      <c r="N353" s="170">
        <f t="shared" ref="N353" si="268">G353*F353</f>
        <v>1114.5216</v>
      </c>
      <c r="O353" s="170">
        <f t="shared" ref="O353" si="269">H353*F353</f>
        <v>1671.7824000000001</v>
      </c>
      <c r="P353" s="240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30" ht="18.75" x14ac:dyDescent="0.2">
      <c r="A354" s="345" t="s">
        <v>1039</v>
      </c>
      <c r="B354" s="346"/>
      <c r="C354" s="346"/>
      <c r="D354" s="354"/>
      <c r="E354" s="54"/>
      <c r="F354" s="54"/>
      <c r="G354" s="54"/>
      <c r="H354" s="54"/>
      <c r="I354" s="55"/>
      <c r="J354" s="55"/>
      <c r="K354" s="56">
        <f>SUM(K355:K356)</f>
        <v>34324.032616000004</v>
      </c>
      <c r="L354" s="2"/>
      <c r="M354" s="2"/>
      <c r="N354" s="16">
        <f t="shared" si="0"/>
        <v>0</v>
      </c>
      <c r="O354" s="16">
        <f t="shared" si="1"/>
        <v>0</v>
      </c>
      <c r="P354" s="240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30" x14ac:dyDescent="0.2">
      <c r="A355" s="166" t="s">
        <v>949</v>
      </c>
      <c r="B355" s="152">
        <v>98458</v>
      </c>
      <c r="C355" s="153" t="s">
        <v>327</v>
      </c>
      <c r="D355" s="153" t="s">
        <v>328</v>
      </c>
      <c r="E355" s="155" t="s">
        <v>16</v>
      </c>
      <c r="F355" s="152">
        <v>17.600000000000001</v>
      </c>
      <c r="G355" s="147">
        <f t="shared" ref="G355" si="270">I355*0.4</f>
        <v>38.260000000000005</v>
      </c>
      <c r="H355" s="147">
        <f t="shared" si="232"/>
        <v>57.39</v>
      </c>
      <c r="I355" s="155">
        <v>95.65</v>
      </c>
      <c r="J355" s="14">
        <f t="shared" si="267"/>
        <v>123.37893500000001</v>
      </c>
      <c r="K355" s="15">
        <f t="shared" ref="K355:K356" si="271">J355*F355</f>
        <v>2171.4692560000003</v>
      </c>
      <c r="L355" s="2"/>
      <c r="M355" s="16"/>
      <c r="N355" s="16">
        <f t="shared" si="0"/>
        <v>673.37600000000009</v>
      </c>
      <c r="O355" s="16">
        <f t="shared" si="1"/>
        <v>1010.0640000000001</v>
      </c>
      <c r="P355" s="240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30" s="238" customFormat="1" ht="30" x14ac:dyDescent="0.2">
      <c r="A356" s="166" t="s">
        <v>326</v>
      </c>
      <c r="B356" s="152" t="s">
        <v>950</v>
      </c>
      <c r="C356" s="153" t="s">
        <v>951</v>
      </c>
      <c r="D356" s="153" t="s">
        <v>953</v>
      </c>
      <c r="E356" s="155" t="s">
        <v>952</v>
      </c>
      <c r="F356" s="152">
        <f>6*4*9</f>
        <v>216</v>
      </c>
      <c r="G356" s="147">
        <f>I356*0.97</f>
        <v>111.938</v>
      </c>
      <c r="H356" s="147">
        <f>I356*0.03</f>
        <v>3.4620000000000002</v>
      </c>
      <c r="I356" s="155">
        <v>115.4</v>
      </c>
      <c r="J356" s="14">
        <f t="shared" si="267"/>
        <v>148.85446000000002</v>
      </c>
      <c r="K356" s="15">
        <f t="shared" si="271"/>
        <v>32152.563360000004</v>
      </c>
      <c r="L356" s="2"/>
      <c r="M356" s="239"/>
      <c r="N356" s="239">
        <f t="shared" ref="N356" si="272">G356*F356</f>
        <v>24178.608</v>
      </c>
      <c r="O356" s="239">
        <f t="shared" ref="O356" si="273">H356*F356</f>
        <v>747.79200000000003</v>
      </c>
      <c r="P356" s="240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30" s="251" customFormat="1" ht="18.75" x14ac:dyDescent="0.2">
      <c r="A357" s="345" t="s">
        <v>1040</v>
      </c>
      <c r="B357" s="346"/>
      <c r="C357" s="346"/>
      <c r="D357" s="354"/>
      <c r="E357" s="7"/>
      <c r="F357" s="7"/>
      <c r="G357" s="7"/>
      <c r="H357" s="7"/>
      <c r="I357" s="37"/>
      <c r="J357" s="37"/>
      <c r="K357" s="8">
        <f>SUM(K358:K400)</f>
        <v>52401.307788200007</v>
      </c>
      <c r="L357" s="2"/>
      <c r="M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s="251" customFormat="1" ht="45" x14ac:dyDescent="0.2">
      <c r="A358" s="81" t="s">
        <v>1061</v>
      </c>
      <c r="B358" s="81" t="s">
        <v>672</v>
      </c>
      <c r="C358" s="88" t="s">
        <v>674</v>
      </c>
      <c r="D358" s="461"/>
      <c r="E358" s="88" t="s">
        <v>347</v>
      </c>
      <c r="F358" s="81">
        <v>45.4</v>
      </c>
      <c r="G358" s="88">
        <f>I358*0.35</f>
        <v>32.413499999999999</v>
      </c>
      <c r="H358" s="88">
        <f>I358*0.65</f>
        <v>60.1965</v>
      </c>
      <c r="I358" s="89">
        <v>92.61</v>
      </c>
      <c r="J358" s="14">
        <f>I358*(1+$K$11)</f>
        <v>119.457639</v>
      </c>
      <c r="K358" s="15">
        <f>J358*F358</f>
        <v>5423.3768105999998</v>
      </c>
      <c r="L358" s="2"/>
      <c r="M358" s="2"/>
      <c r="N358" s="252">
        <f t="shared" ref="N358:N400" si="274">G358*F358</f>
        <v>1471.5728999999999</v>
      </c>
      <c r="O358" s="252">
        <f t="shared" ref="O358:O400" si="275">H358*F358</f>
        <v>2732.9211</v>
      </c>
      <c r="P358" s="25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s="251" customFormat="1" ht="45" x14ac:dyDescent="0.2">
      <c r="A359" s="90" t="s">
        <v>1062</v>
      </c>
      <c r="B359" s="81" t="s">
        <v>749</v>
      </c>
      <c r="C359" s="81" t="s">
        <v>676</v>
      </c>
      <c r="D359" s="462"/>
      <c r="E359" s="88" t="s">
        <v>347</v>
      </c>
      <c r="F359" s="81">
        <v>14.9</v>
      </c>
      <c r="G359" s="88">
        <f t="shared" ref="G359:G400" si="276">I359*0.35</f>
        <v>28.199499999999997</v>
      </c>
      <c r="H359" s="88">
        <f t="shared" ref="H359:H400" si="277">I359*0.65</f>
        <v>52.3705</v>
      </c>
      <c r="I359" s="89">
        <v>80.569999999999993</v>
      </c>
      <c r="J359" s="14">
        <f t="shared" ref="J359:J400" si="278">I359*(1+$K$11)</f>
        <v>103.92724299999999</v>
      </c>
      <c r="K359" s="15">
        <f t="shared" ref="K359:K400" si="279">J359*F359</f>
        <v>1548.5159206999999</v>
      </c>
      <c r="L359" s="2"/>
      <c r="M359" s="2"/>
      <c r="N359" s="252">
        <f t="shared" si="274"/>
        <v>420.17254999999994</v>
      </c>
      <c r="O359" s="252">
        <f t="shared" si="275"/>
        <v>780.32045000000005</v>
      </c>
      <c r="P359" s="25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s="251" customFormat="1" ht="30" x14ac:dyDescent="0.2">
      <c r="A360" s="81" t="s">
        <v>1063</v>
      </c>
      <c r="B360" s="81" t="s">
        <v>677</v>
      </c>
      <c r="C360" s="81" t="s">
        <v>678</v>
      </c>
      <c r="D360" s="462"/>
      <c r="E360" s="88" t="s">
        <v>347</v>
      </c>
      <c r="F360" s="81">
        <v>93.8</v>
      </c>
      <c r="G360" s="88">
        <f t="shared" si="276"/>
        <v>5.1134999999999993</v>
      </c>
      <c r="H360" s="88">
        <f t="shared" si="277"/>
        <v>9.4964999999999993</v>
      </c>
      <c r="I360" s="89">
        <v>14.61</v>
      </c>
      <c r="J360" s="14">
        <f t="shared" si="278"/>
        <v>18.845438999999999</v>
      </c>
      <c r="K360" s="15">
        <f t="shared" si="279"/>
        <v>1767.7021781999999</v>
      </c>
      <c r="L360" s="2"/>
      <c r="M360" s="2"/>
      <c r="N360" s="252">
        <f t="shared" si="274"/>
        <v>479.64629999999994</v>
      </c>
      <c r="O360" s="252">
        <f t="shared" si="275"/>
        <v>890.7716999999999</v>
      </c>
      <c r="P360" s="25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s="251" customFormat="1" ht="30" x14ac:dyDescent="0.2">
      <c r="A361" s="90" t="s">
        <v>1064</v>
      </c>
      <c r="B361" s="81" t="s">
        <v>679</v>
      </c>
      <c r="C361" s="92" t="s">
        <v>680</v>
      </c>
      <c r="D361" s="462"/>
      <c r="E361" s="88" t="s">
        <v>347</v>
      </c>
      <c r="F361" s="93">
        <v>228.8</v>
      </c>
      <c r="G361" s="88">
        <f t="shared" si="276"/>
        <v>6.4295</v>
      </c>
      <c r="H361" s="88">
        <f t="shared" si="277"/>
        <v>11.940500000000002</v>
      </c>
      <c r="I361" s="94">
        <v>18.37</v>
      </c>
      <c r="J361" s="14">
        <f t="shared" si="278"/>
        <v>23.695463000000004</v>
      </c>
      <c r="K361" s="15">
        <f t="shared" si="279"/>
        <v>5421.5219344000016</v>
      </c>
      <c r="L361" s="2"/>
      <c r="M361" s="2"/>
      <c r="N361" s="252">
        <f t="shared" si="274"/>
        <v>1471.0696</v>
      </c>
      <c r="O361" s="252">
        <f t="shared" si="275"/>
        <v>2731.9864000000007</v>
      </c>
      <c r="P361" s="25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s="251" customFormat="1" ht="30" x14ac:dyDescent="0.2">
      <c r="A362" s="81" t="s">
        <v>1065</v>
      </c>
      <c r="B362" s="81" t="s">
        <v>681</v>
      </c>
      <c r="C362" s="88" t="s">
        <v>682</v>
      </c>
      <c r="D362" s="462"/>
      <c r="E362" s="88" t="s">
        <v>347</v>
      </c>
      <c r="F362" s="81">
        <v>8.3000000000000007</v>
      </c>
      <c r="G362" s="88">
        <f t="shared" si="276"/>
        <v>8.5224999999999991</v>
      </c>
      <c r="H362" s="88">
        <f t="shared" si="277"/>
        <v>15.827500000000002</v>
      </c>
      <c r="I362" s="89">
        <v>24.35</v>
      </c>
      <c r="J362" s="14">
        <f t="shared" si="278"/>
        <v>31.409065000000002</v>
      </c>
      <c r="K362" s="15">
        <f t="shared" si="279"/>
        <v>260.69523950000001</v>
      </c>
      <c r="L362" s="2"/>
      <c r="M362" s="2"/>
      <c r="N362" s="252">
        <f t="shared" si="274"/>
        <v>70.736750000000001</v>
      </c>
      <c r="O362" s="252">
        <f t="shared" si="275"/>
        <v>131.36825000000002</v>
      </c>
      <c r="P362" s="25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s="251" customFormat="1" ht="30" x14ac:dyDescent="0.2">
      <c r="A363" s="90" t="s">
        <v>1066</v>
      </c>
      <c r="B363" s="81" t="s">
        <v>683</v>
      </c>
      <c r="C363" s="88" t="s">
        <v>684</v>
      </c>
      <c r="D363" s="462"/>
      <c r="E363" s="88" t="s">
        <v>666</v>
      </c>
      <c r="F363" s="81">
        <v>27</v>
      </c>
      <c r="G363" s="88">
        <f t="shared" si="276"/>
        <v>7.990499999999999</v>
      </c>
      <c r="H363" s="88">
        <f t="shared" si="277"/>
        <v>14.839499999999999</v>
      </c>
      <c r="I363" s="89">
        <v>22.83</v>
      </c>
      <c r="J363" s="14">
        <f t="shared" si="278"/>
        <v>29.448416999999999</v>
      </c>
      <c r="K363" s="15">
        <f t="shared" si="279"/>
        <v>795.107259</v>
      </c>
      <c r="L363" s="2"/>
      <c r="M363" s="2"/>
      <c r="N363" s="252">
        <f t="shared" si="274"/>
        <v>215.74349999999998</v>
      </c>
      <c r="O363" s="252">
        <f t="shared" si="275"/>
        <v>400.66649999999998</v>
      </c>
      <c r="P363" s="25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s="251" customFormat="1" ht="45" x14ac:dyDescent="0.2">
      <c r="A364" s="81" t="s">
        <v>1067</v>
      </c>
      <c r="B364" s="81" t="s">
        <v>685</v>
      </c>
      <c r="C364" s="88" t="s">
        <v>686</v>
      </c>
      <c r="D364" s="462"/>
      <c r="E364" s="88" t="s">
        <v>347</v>
      </c>
      <c r="F364" s="81">
        <v>44.3</v>
      </c>
      <c r="G364" s="88">
        <f t="shared" si="276"/>
        <v>3.8884999999999996</v>
      </c>
      <c r="H364" s="88">
        <f t="shared" si="277"/>
        <v>7.2214999999999998</v>
      </c>
      <c r="I364" s="89">
        <v>11.11</v>
      </c>
      <c r="J364" s="14">
        <f t="shared" si="278"/>
        <v>14.330788999999999</v>
      </c>
      <c r="K364" s="15">
        <f t="shared" si="279"/>
        <v>634.85395269999992</v>
      </c>
      <c r="L364" s="2"/>
      <c r="M364" s="2"/>
      <c r="N364" s="252">
        <f t="shared" si="274"/>
        <v>172.26054999999997</v>
      </c>
      <c r="O364" s="252">
        <f t="shared" si="275"/>
        <v>319.91244999999998</v>
      </c>
      <c r="P364" s="25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s="251" customFormat="1" ht="45" x14ac:dyDescent="0.2">
      <c r="A365" s="90" t="s">
        <v>1068</v>
      </c>
      <c r="B365" s="81" t="s">
        <v>687</v>
      </c>
      <c r="C365" s="88" t="s">
        <v>688</v>
      </c>
      <c r="D365" s="462"/>
      <c r="E365" s="88" t="s">
        <v>347</v>
      </c>
      <c r="F365" s="81">
        <v>246.7</v>
      </c>
      <c r="G365" s="88">
        <f t="shared" si="276"/>
        <v>1.099</v>
      </c>
      <c r="H365" s="88">
        <f t="shared" si="277"/>
        <v>2.0410000000000004</v>
      </c>
      <c r="I365" s="89">
        <v>3.14</v>
      </c>
      <c r="J365" s="14">
        <f t="shared" si="278"/>
        <v>4.0502860000000007</v>
      </c>
      <c r="K365" s="15">
        <f t="shared" si="279"/>
        <v>999.20555620000016</v>
      </c>
      <c r="L365" s="2"/>
      <c r="M365" s="2"/>
      <c r="N365" s="252">
        <f t="shared" si="274"/>
        <v>271.12329999999997</v>
      </c>
      <c r="O365" s="252">
        <f t="shared" si="275"/>
        <v>503.51470000000006</v>
      </c>
      <c r="P365" s="25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s="251" customFormat="1" ht="45" x14ac:dyDescent="0.2">
      <c r="A366" s="81" t="s">
        <v>1069</v>
      </c>
      <c r="B366" s="81" t="s">
        <v>689</v>
      </c>
      <c r="C366" s="88" t="s">
        <v>690</v>
      </c>
      <c r="D366" s="462"/>
      <c r="E366" s="88" t="s">
        <v>347</v>
      </c>
      <c r="F366" s="81">
        <v>1102</v>
      </c>
      <c r="G366" s="88">
        <f t="shared" si="276"/>
        <v>1.5924999999999998</v>
      </c>
      <c r="H366" s="88">
        <f t="shared" si="277"/>
        <v>2.9575</v>
      </c>
      <c r="I366" s="89">
        <v>4.55</v>
      </c>
      <c r="J366" s="14">
        <f t="shared" si="278"/>
        <v>5.8690449999999998</v>
      </c>
      <c r="K366" s="15">
        <f t="shared" si="279"/>
        <v>6467.6875899999995</v>
      </c>
      <c r="L366" s="2"/>
      <c r="M366" s="2"/>
      <c r="N366" s="252">
        <f t="shared" si="274"/>
        <v>1754.9349999999997</v>
      </c>
      <c r="O366" s="252">
        <f t="shared" si="275"/>
        <v>3259.165</v>
      </c>
      <c r="P366" s="25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s="251" customFormat="1" ht="45" x14ac:dyDescent="0.2">
      <c r="A367" s="90" t="s">
        <v>1070</v>
      </c>
      <c r="B367" s="81" t="s">
        <v>691</v>
      </c>
      <c r="C367" s="88" t="s">
        <v>692</v>
      </c>
      <c r="D367" s="462"/>
      <c r="E367" s="88" t="s">
        <v>347</v>
      </c>
      <c r="F367" s="81">
        <v>948.94999999999993</v>
      </c>
      <c r="G367" s="88">
        <f t="shared" si="276"/>
        <v>2.464</v>
      </c>
      <c r="H367" s="88">
        <f t="shared" si="277"/>
        <v>4.5760000000000005</v>
      </c>
      <c r="I367" s="89">
        <v>7.04</v>
      </c>
      <c r="J367" s="14">
        <f t="shared" si="278"/>
        <v>9.080896000000001</v>
      </c>
      <c r="K367" s="15">
        <f t="shared" si="279"/>
        <v>8617.3162592000008</v>
      </c>
      <c r="L367" s="2"/>
      <c r="M367" s="2"/>
      <c r="N367" s="252">
        <f t="shared" si="274"/>
        <v>2338.2127999999998</v>
      </c>
      <c r="O367" s="252">
        <f t="shared" si="275"/>
        <v>4342.3951999999999</v>
      </c>
      <c r="P367" s="25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s="251" customFormat="1" ht="45" x14ac:dyDescent="0.2">
      <c r="A368" s="81" t="s">
        <v>1071</v>
      </c>
      <c r="B368" s="81" t="s">
        <v>693</v>
      </c>
      <c r="C368" s="88" t="s">
        <v>694</v>
      </c>
      <c r="D368" s="462"/>
      <c r="E368" s="88" t="s">
        <v>347</v>
      </c>
      <c r="F368" s="81">
        <v>72</v>
      </c>
      <c r="G368" s="88">
        <f t="shared" si="276"/>
        <v>3.444</v>
      </c>
      <c r="H368" s="88">
        <f t="shared" si="277"/>
        <v>6.3959999999999999</v>
      </c>
      <c r="I368" s="89">
        <v>9.84</v>
      </c>
      <c r="J368" s="14">
        <f t="shared" si="278"/>
        <v>12.692616000000001</v>
      </c>
      <c r="K368" s="15">
        <f t="shared" si="279"/>
        <v>913.86835200000007</v>
      </c>
      <c r="L368" s="2"/>
      <c r="M368" s="2"/>
      <c r="N368" s="252">
        <f t="shared" si="274"/>
        <v>247.96799999999999</v>
      </c>
      <c r="O368" s="252">
        <f t="shared" si="275"/>
        <v>460.512</v>
      </c>
      <c r="P368" s="25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s="251" customFormat="1" ht="30" x14ac:dyDescent="0.2">
      <c r="A369" s="90" t="s">
        <v>1072</v>
      </c>
      <c r="B369" s="81" t="s">
        <v>695</v>
      </c>
      <c r="C369" s="88" t="s">
        <v>696</v>
      </c>
      <c r="D369" s="462"/>
      <c r="E369" s="88" t="s">
        <v>347</v>
      </c>
      <c r="F369" s="81">
        <v>22.1</v>
      </c>
      <c r="G369" s="88">
        <f t="shared" si="276"/>
        <v>4.0705</v>
      </c>
      <c r="H369" s="88">
        <f t="shared" si="277"/>
        <v>7.5595000000000008</v>
      </c>
      <c r="I369" s="89">
        <v>11.63</v>
      </c>
      <c r="J369" s="14">
        <f t="shared" si="278"/>
        <v>15.001537000000001</v>
      </c>
      <c r="K369" s="15">
        <f t="shared" si="279"/>
        <v>331.53396770000006</v>
      </c>
      <c r="L369" s="2"/>
      <c r="M369" s="2"/>
      <c r="N369" s="252">
        <f t="shared" si="274"/>
        <v>89.95805</v>
      </c>
      <c r="O369" s="252">
        <f t="shared" si="275"/>
        <v>167.06495000000004</v>
      </c>
      <c r="P369" s="25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s="251" customFormat="1" ht="30" x14ac:dyDescent="0.2">
      <c r="A370" s="81" t="s">
        <v>1073</v>
      </c>
      <c r="B370" s="81" t="s">
        <v>697</v>
      </c>
      <c r="C370" s="88" t="s">
        <v>698</v>
      </c>
      <c r="D370" s="462"/>
      <c r="E370" s="88" t="s">
        <v>666</v>
      </c>
      <c r="F370" s="81">
        <v>28</v>
      </c>
      <c r="G370" s="88">
        <f t="shared" si="276"/>
        <v>11.525499999999999</v>
      </c>
      <c r="H370" s="88">
        <f t="shared" si="277"/>
        <v>21.404500000000002</v>
      </c>
      <c r="I370" s="89">
        <v>32.93</v>
      </c>
      <c r="J370" s="14">
        <f t="shared" si="278"/>
        <v>42.476407000000002</v>
      </c>
      <c r="K370" s="15">
        <f t="shared" si="279"/>
        <v>1189.3393960000001</v>
      </c>
      <c r="L370" s="2"/>
      <c r="M370" s="2"/>
      <c r="N370" s="252">
        <f t="shared" si="274"/>
        <v>322.714</v>
      </c>
      <c r="O370" s="252">
        <f t="shared" si="275"/>
        <v>599.32600000000002</v>
      </c>
      <c r="P370" s="25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s="251" customFormat="1" ht="30" x14ac:dyDescent="0.2">
      <c r="A371" s="90" t="s">
        <v>1074</v>
      </c>
      <c r="B371" s="81" t="s">
        <v>699</v>
      </c>
      <c r="C371" s="88" t="s">
        <v>700</v>
      </c>
      <c r="D371" s="462"/>
      <c r="E371" s="88" t="s">
        <v>666</v>
      </c>
      <c r="F371" s="81">
        <v>23</v>
      </c>
      <c r="G371" s="88">
        <f t="shared" si="276"/>
        <v>7.5879999999999992</v>
      </c>
      <c r="H371" s="88">
        <f t="shared" si="277"/>
        <v>14.092000000000001</v>
      </c>
      <c r="I371" s="89">
        <v>21.68</v>
      </c>
      <c r="J371" s="14">
        <f t="shared" si="278"/>
        <v>27.965032000000001</v>
      </c>
      <c r="K371" s="15">
        <f t="shared" si="279"/>
        <v>643.19573600000001</v>
      </c>
      <c r="L371" s="2"/>
      <c r="M371" s="2"/>
      <c r="N371" s="252">
        <f t="shared" si="274"/>
        <v>174.52399999999997</v>
      </c>
      <c r="O371" s="252">
        <f t="shared" si="275"/>
        <v>324.11599999999999</v>
      </c>
      <c r="P371" s="25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s="251" customFormat="1" ht="30" x14ac:dyDescent="0.2">
      <c r="A372" s="81" t="s">
        <v>1075</v>
      </c>
      <c r="B372" s="81" t="s">
        <v>701</v>
      </c>
      <c r="C372" s="88" t="s">
        <v>702</v>
      </c>
      <c r="D372" s="462"/>
      <c r="E372" s="88" t="s">
        <v>666</v>
      </c>
      <c r="F372" s="81">
        <v>13</v>
      </c>
      <c r="G372" s="88">
        <f t="shared" si="276"/>
        <v>8.9214999999999982</v>
      </c>
      <c r="H372" s="88">
        <f t="shared" si="277"/>
        <v>16.5685</v>
      </c>
      <c r="I372" s="89">
        <v>25.49</v>
      </c>
      <c r="J372" s="14">
        <f t="shared" si="278"/>
        <v>32.879550999999999</v>
      </c>
      <c r="K372" s="15">
        <f t="shared" si="279"/>
        <v>427.43416300000001</v>
      </c>
      <c r="L372" s="2"/>
      <c r="M372" s="2"/>
      <c r="N372" s="252">
        <f t="shared" si="274"/>
        <v>115.97949999999997</v>
      </c>
      <c r="O372" s="252">
        <f t="shared" si="275"/>
        <v>215.3905</v>
      </c>
      <c r="P372" s="25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s="251" customFormat="1" ht="30" x14ac:dyDescent="0.2">
      <c r="A373" s="90" t="s">
        <v>1076</v>
      </c>
      <c r="B373" s="81" t="s">
        <v>703</v>
      </c>
      <c r="C373" s="212" t="s">
        <v>704</v>
      </c>
      <c r="D373" s="462"/>
      <c r="E373" s="212" t="s">
        <v>666</v>
      </c>
      <c r="F373" s="93">
        <v>18</v>
      </c>
      <c r="G373" s="88">
        <f t="shared" si="276"/>
        <v>11.014499999999998</v>
      </c>
      <c r="H373" s="88">
        <f t="shared" si="277"/>
        <v>20.455500000000001</v>
      </c>
      <c r="I373" s="94">
        <v>31.47</v>
      </c>
      <c r="J373" s="14">
        <f t="shared" si="278"/>
        <v>40.593153000000001</v>
      </c>
      <c r="K373" s="15">
        <f t="shared" si="279"/>
        <v>730.67675400000007</v>
      </c>
      <c r="L373" s="2"/>
      <c r="M373" s="2"/>
      <c r="N373" s="252">
        <f t="shared" si="274"/>
        <v>198.26099999999997</v>
      </c>
      <c r="O373" s="252">
        <f t="shared" si="275"/>
        <v>368.19900000000001</v>
      </c>
      <c r="P373" s="25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s="251" customFormat="1" ht="30" x14ac:dyDescent="0.2">
      <c r="A374" s="81" t="s">
        <v>1077</v>
      </c>
      <c r="B374" s="81" t="s">
        <v>705</v>
      </c>
      <c r="C374" s="88" t="s">
        <v>706</v>
      </c>
      <c r="D374" s="462"/>
      <c r="E374" s="88" t="s">
        <v>666</v>
      </c>
      <c r="F374" s="81">
        <v>2</v>
      </c>
      <c r="G374" s="88">
        <f t="shared" si="276"/>
        <v>16.782499999999999</v>
      </c>
      <c r="H374" s="88">
        <f t="shared" si="277"/>
        <v>31.167500000000004</v>
      </c>
      <c r="I374" s="89">
        <v>47.95</v>
      </c>
      <c r="J374" s="14">
        <f t="shared" si="278"/>
        <v>61.850705000000005</v>
      </c>
      <c r="K374" s="15">
        <f t="shared" si="279"/>
        <v>123.70141000000001</v>
      </c>
      <c r="L374" s="2"/>
      <c r="M374" s="2"/>
      <c r="N374" s="252">
        <f t="shared" si="274"/>
        <v>33.564999999999998</v>
      </c>
      <c r="O374" s="252">
        <f t="shared" si="275"/>
        <v>62.335000000000008</v>
      </c>
      <c r="P374" s="25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s="251" customFormat="1" ht="30" x14ac:dyDescent="0.2">
      <c r="A375" s="90" t="s">
        <v>1078</v>
      </c>
      <c r="B375" s="81" t="s">
        <v>707</v>
      </c>
      <c r="C375" s="92" t="s">
        <v>708</v>
      </c>
      <c r="D375" s="462"/>
      <c r="E375" s="91" t="s">
        <v>666</v>
      </c>
      <c r="F375" s="95">
        <v>1</v>
      </c>
      <c r="G375" s="88">
        <f t="shared" si="276"/>
        <v>22.547000000000001</v>
      </c>
      <c r="H375" s="88">
        <f t="shared" si="277"/>
        <v>41.873000000000005</v>
      </c>
      <c r="I375" s="96">
        <v>64.42</v>
      </c>
      <c r="J375" s="14">
        <f t="shared" si="278"/>
        <v>83.095358000000004</v>
      </c>
      <c r="K375" s="15">
        <f t="shared" si="279"/>
        <v>83.095358000000004</v>
      </c>
      <c r="L375" s="2"/>
      <c r="M375" s="2"/>
      <c r="N375" s="252">
        <f t="shared" si="274"/>
        <v>22.547000000000001</v>
      </c>
      <c r="O375" s="252">
        <f t="shared" si="275"/>
        <v>41.873000000000005</v>
      </c>
      <c r="P375" s="25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s="251" customFormat="1" ht="30" x14ac:dyDescent="0.2">
      <c r="A376" s="81" t="s">
        <v>1079</v>
      </c>
      <c r="B376" s="81" t="s">
        <v>709</v>
      </c>
      <c r="C376" s="88" t="s">
        <v>710</v>
      </c>
      <c r="D376" s="462"/>
      <c r="E376" s="88" t="s">
        <v>666</v>
      </c>
      <c r="F376" s="81">
        <v>15</v>
      </c>
      <c r="G376" s="88">
        <f t="shared" si="276"/>
        <v>11.549999999999999</v>
      </c>
      <c r="H376" s="88">
        <f t="shared" si="277"/>
        <v>21.45</v>
      </c>
      <c r="I376" s="89">
        <v>33</v>
      </c>
      <c r="J376" s="14">
        <f t="shared" si="278"/>
        <v>42.566700000000004</v>
      </c>
      <c r="K376" s="15">
        <f t="shared" si="279"/>
        <v>638.5005000000001</v>
      </c>
      <c r="L376" s="2"/>
      <c r="M376" s="2"/>
      <c r="N376" s="252">
        <f t="shared" si="274"/>
        <v>173.24999999999997</v>
      </c>
      <c r="O376" s="252">
        <f t="shared" si="275"/>
        <v>321.75</v>
      </c>
      <c r="P376" s="25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s="251" customFormat="1" ht="30" x14ac:dyDescent="0.2">
      <c r="A377" s="90" t="s">
        <v>1080</v>
      </c>
      <c r="B377" s="81" t="s">
        <v>711</v>
      </c>
      <c r="C377" s="88" t="s">
        <v>756</v>
      </c>
      <c r="D377" s="462"/>
      <c r="E377" s="88" t="s">
        <v>760</v>
      </c>
      <c r="F377" s="81">
        <v>34</v>
      </c>
      <c r="G377" s="88">
        <f t="shared" si="276"/>
        <v>5.1239999999999997</v>
      </c>
      <c r="H377" s="88">
        <f t="shared" si="277"/>
        <v>9.516</v>
      </c>
      <c r="I377" s="89">
        <v>14.64</v>
      </c>
      <c r="J377" s="14">
        <f t="shared" si="278"/>
        <v>18.884136000000002</v>
      </c>
      <c r="K377" s="15">
        <f t="shared" si="279"/>
        <v>642.06062400000008</v>
      </c>
      <c r="L377" s="2"/>
      <c r="M377" s="2"/>
      <c r="N377" s="252">
        <f t="shared" si="274"/>
        <v>174.21599999999998</v>
      </c>
      <c r="O377" s="252">
        <f t="shared" si="275"/>
        <v>323.54399999999998</v>
      </c>
      <c r="P377" s="25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s="251" customFormat="1" x14ac:dyDescent="0.2">
      <c r="A378" s="81" t="s">
        <v>1081</v>
      </c>
      <c r="B378" s="81" t="s">
        <v>712</v>
      </c>
      <c r="C378" s="81" t="s">
        <v>713</v>
      </c>
      <c r="D378" s="462"/>
      <c r="E378" s="88" t="s">
        <v>760</v>
      </c>
      <c r="F378" s="81">
        <v>1</v>
      </c>
      <c r="G378" s="88">
        <f t="shared" si="276"/>
        <v>16.544499999999999</v>
      </c>
      <c r="H378" s="88">
        <f t="shared" si="277"/>
        <v>30.725500000000004</v>
      </c>
      <c r="I378" s="89">
        <v>47.27</v>
      </c>
      <c r="J378" s="14">
        <f t="shared" si="278"/>
        <v>60.973573000000009</v>
      </c>
      <c r="K378" s="15">
        <f t="shared" si="279"/>
        <v>60.973573000000009</v>
      </c>
      <c r="L378" s="2"/>
      <c r="M378" s="2"/>
      <c r="N378" s="252">
        <f t="shared" si="274"/>
        <v>16.544499999999999</v>
      </c>
      <c r="O378" s="252">
        <f t="shared" si="275"/>
        <v>30.725500000000004</v>
      </c>
      <c r="P378" s="25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s="251" customFormat="1" ht="45" x14ac:dyDescent="0.2">
      <c r="A379" s="90" t="s">
        <v>1082</v>
      </c>
      <c r="B379" s="81" t="s">
        <v>714</v>
      </c>
      <c r="C379" s="92" t="s">
        <v>715</v>
      </c>
      <c r="D379" s="462"/>
      <c r="E379" s="88" t="s">
        <v>666</v>
      </c>
      <c r="F379" s="93">
        <v>1</v>
      </c>
      <c r="G379" s="88">
        <f t="shared" si="276"/>
        <v>18.735499999999998</v>
      </c>
      <c r="H379" s="88">
        <f t="shared" si="277"/>
        <v>34.794499999999999</v>
      </c>
      <c r="I379" s="94">
        <v>53.53</v>
      </c>
      <c r="J379" s="14">
        <f t="shared" si="278"/>
        <v>69.048347000000007</v>
      </c>
      <c r="K379" s="15">
        <f t="shared" si="279"/>
        <v>69.048347000000007</v>
      </c>
      <c r="L379" s="2"/>
      <c r="M379" s="2"/>
      <c r="N379" s="252">
        <f t="shared" si="274"/>
        <v>18.735499999999998</v>
      </c>
      <c r="O379" s="252">
        <f t="shared" si="275"/>
        <v>34.794499999999999</v>
      </c>
      <c r="P379" s="25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s="251" customFormat="1" ht="30" x14ac:dyDescent="0.2">
      <c r="A380" s="81" t="s">
        <v>1083</v>
      </c>
      <c r="B380" s="81" t="s">
        <v>716</v>
      </c>
      <c r="C380" s="88" t="s">
        <v>368</v>
      </c>
      <c r="D380" s="462"/>
      <c r="E380" s="88" t="s">
        <v>666</v>
      </c>
      <c r="F380" s="81">
        <v>4</v>
      </c>
      <c r="G380" s="88">
        <f t="shared" si="276"/>
        <v>4.1544999999999996</v>
      </c>
      <c r="H380" s="88">
        <f t="shared" si="277"/>
        <v>7.7154999999999996</v>
      </c>
      <c r="I380" s="89">
        <v>11.87</v>
      </c>
      <c r="J380" s="14">
        <f t="shared" si="278"/>
        <v>15.311112999999999</v>
      </c>
      <c r="K380" s="15">
        <f t="shared" si="279"/>
        <v>61.244451999999995</v>
      </c>
      <c r="L380" s="2"/>
      <c r="M380" s="2"/>
      <c r="N380" s="252">
        <f t="shared" si="274"/>
        <v>16.617999999999999</v>
      </c>
      <c r="O380" s="252">
        <f t="shared" si="275"/>
        <v>30.861999999999998</v>
      </c>
      <c r="P380" s="25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s="251" customFormat="1" ht="30" x14ac:dyDescent="0.2">
      <c r="A381" s="90" t="s">
        <v>1084</v>
      </c>
      <c r="B381" s="81" t="s">
        <v>717</v>
      </c>
      <c r="C381" s="88" t="s">
        <v>369</v>
      </c>
      <c r="D381" s="462"/>
      <c r="E381" s="88" t="s">
        <v>666</v>
      </c>
      <c r="F381" s="81">
        <v>1</v>
      </c>
      <c r="G381" s="88">
        <f t="shared" si="276"/>
        <v>4.6234999999999999</v>
      </c>
      <c r="H381" s="88">
        <f t="shared" si="277"/>
        <v>8.5865000000000009</v>
      </c>
      <c r="I381" s="89">
        <v>13.21</v>
      </c>
      <c r="J381" s="14">
        <f t="shared" si="278"/>
        <v>17.039579000000003</v>
      </c>
      <c r="K381" s="15">
        <f t="shared" si="279"/>
        <v>17.039579000000003</v>
      </c>
      <c r="L381" s="2"/>
      <c r="M381" s="2"/>
      <c r="N381" s="252">
        <f t="shared" si="274"/>
        <v>4.6234999999999999</v>
      </c>
      <c r="O381" s="252">
        <f t="shared" si="275"/>
        <v>8.5865000000000009</v>
      </c>
      <c r="P381" s="25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s="251" customFormat="1" ht="30" x14ac:dyDescent="0.2">
      <c r="A382" s="81" t="s">
        <v>1085</v>
      </c>
      <c r="B382" s="81" t="s">
        <v>718</v>
      </c>
      <c r="C382" s="88" t="s">
        <v>719</v>
      </c>
      <c r="D382" s="462"/>
      <c r="E382" s="88" t="s">
        <v>666</v>
      </c>
      <c r="F382" s="81">
        <v>1</v>
      </c>
      <c r="G382" s="88">
        <f t="shared" si="276"/>
        <v>4.6234999999999999</v>
      </c>
      <c r="H382" s="88">
        <f t="shared" si="277"/>
        <v>8.5865000000000009</v>
      </c>
      <c r="I382" s="89">
        <v>13.21</v>
      </c>
      <c r="J382" s="14">
        <f t="shared" si="278"/>
        <v>17.039579000000003</v>
      </c>
      <c r="K382" s="15">
        <f t="shared" si="279"/>
        <v>17.039579000000003</v>
      </c>
      <c r="L382" s="2"/>
      <c r="M382" s="2"/>
      <c r="N382" s="252">
        <f t="shared" si="274"/>
        <v>4.6234999999999999</v>
      </c>
      <c r="O382" s="252">
        <f t="shared" si="275"/>
        <v>8.5865000000000009</v>
      </c>
      <c r="P382" s="25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s="251" customFormat="1" ht="30" x14ac:dyDescent="0.2">
      <c r="A383" s="90" t="s">
        <v>1086</v>
      </c>
      <c r="B383" s="81" t="s">
        <v>720</v>
      </c>
      <c r="C383" s="88" t="s">
        <v>370</v>
      </c>
      <c r="D383" s="462"/>
      <c r="E383" s="88" t="s">
        <v>666</v>
      </c>
      <c r="F383" s="81">
        <v>2</v>
      </c>
      <c r="G383" s="88">
        <f t="shared" si="276"/>
        <v>5.1869999999999994</v>
      </c>
      <c r="H383" s="88">
        <f t="shared" si="277"/>
        <v>9.6330000000000009</v>
      </c>
      <c r="I383" s="89">
        <v>14.82</v>
      </c>
      <c r="J383" s="14">
        <f t="shared" si="278"/>
        <v>19.116318</v>
      </c>
      <c r="K383" s="15">
        <f t="shared" si="279"/>
        <v>38.232635999999999</v>
      </c>
      <c r="L383" s="2"/>
      <c r="M383" s="2"/>
      <c r="N383" s="252">
        <f t="shared" si="274"/>
        <v>10.373999999999999</v>
      </c>
      <c r="O383" s="252">
        <f t="shared" si="275"/>
        <v>19.266000000000002</v>
      </c>
      <c r="P383" s="25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s="251" customFormat="1" ht="30" x14ac:dyDescent="0.2">
      <c r="A384" s="81" t="s">
        <v>1087</v>
      </c>
      <c r="B384" s="81" t="s">
        <v>721</v>
      </c>
      <c r="C384" s="88" t="s">
        <v>367</v>
      </c>
      <c r="D384" s="462"/>
      <c r="E384" s="88" t="s">
        <v>666</v>
      </c>
      <c r="F384" s="81">
        <v>2</v>
      </c>
      <c r="G384" s="88">
        <f t="shared" si="276"/>
        <v>3.9164999999999996</v>
      </c>
      <c r="H384" s="88">
        <f t="shared" si="277"/>
        <v>7.2735000000000003</v>
      </c>
      <c r="I384" s="89">
        <v>11.19</v>
      </c>
      <c r="J384" s="14">
        <f t="shared" si="278"/>
        <v>14.433980999999999</v>
      </c>
      <c r="K384" s="15">
        <f t="shared" si="279"/>
        <v>28.867961999999999</v>
      </c>
      <c r="L384" s="2"/>
      <c r="M384" s="2"/>
      <c r="N384" s="252">
        <f t="shared" si="274"/>
        <v>7.8329999999999993</v>
      </c>
      <c r="O384" s="252">
        <f t="shared" si="275"/>
        <v>14.547000000000001</v>
      </c>
      <c r="P384" s="25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s="251" customFormat="1" ht="30" x14ac:dyDescent="0.2">
      <c r="A385" s="90" t="s">
        <v>1088</v>
      </c>
      <c r="B385" s="81" t="s">
        <v>722</v>
      </c>
      <c r="C385" s="88" t="s">
        <v>723</v>
      </c>
      <c r="D385" s="462"/>
      <c r="E385" s="88" t="s">
        <v>666</v>
      </c>
      <c r="F385" s="81">
        <v>1</v>
      </c>
      <c r="G385" s="88">
        <f t="shared" si="276"/>
        <v>24.107999999999997</v>
      </c>
      <c r="H385" s="88">
        <f t="shared" si="277"/>
        <v>44.771999999999998</v>
      </c>
      <c r="I385" s="89">
        <v>68.88</v>
      </c>
      <c r="J385" s="14">
        <f t="shared" si="278"/>
        <v>88.848311999999993</v>
      </c>
      <c r="K385" s="15">
        <f t="shared" si="279"/>
        <v>88.848311999999993</v>
      </c>
      <c r="L385" s="2"/>
      <c r="M385" s="2"/>
      <c r="N385" s="252">
        <f t="shared" si="274"/>
        <v>24.107999999999997</v>
      </c>
      <c r="O385" s="252">
        <f t="shared" si="275"/>
        <v>44.771999999999998</v>
      </c>
      <c r="P385" s="25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s="251" customFormat="1" ht="30" x14ac:dyDescent="0.2">
      <c r="A386" s="81" t="s">
        <v>1089</v>
      </c>
      <c r="B386" s="81" t="s">
        <v>724</v>
      </c>
      <c r="C386" s="88" t="s">
        <v>371</v>
      </c>
      <c r="D386" s="462"/>
      <c r="E386" s="88" t="s">
        <v>666</v>
      </c>
      <c r="F386" s="81">
        <v>2</v>
      </c>
      <c r="G386" s="88">
        <f t="shared" si="276"/>
        <v>33.313000000000002</v>
      </c>
      <c r="H386" s="88">
        <f t="shared" si="277"/>
        <v>61.867000000000004</v>
      </c>
      <c r="I386" s="89">
        <v>95.18</v>
      </c>
      <c r="J386" s="14">
        <f t="shared" si="278"/>
        <v>122.77268200000002</v>
      </c>
      <c r="K386" s="15">
        <f t="shared" si="279"/>
        <v>245.54536400000003</v>
      </c>
      <c r="L386" s="2"/>
      <c r="M386" s="2"/>
      <c r="N386" s="252">
        <f t="shared" si="274"/>
        <v>66.626000000000005</v>
      </c>
      <c r="O386" s="252">
        <f t="shared" si="275"/>
        <v>123.73400000000001</v>
      </c>
      <c r="P386" s="25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s="251" customFormat="1" ht="30" x14ac:dyDescent="0.2">
      <c r="A387" s="90" t="s">
        <v>1090</v>
      </c>
      <c r="B387" s="81" t="s">
        <v>725</v>
      </c>
      <c r="C387" s="88" t="s">
        <v>757</v>
      </c>
      <c r="D387" s="462"/>
      <c r="E387" s="88" t="s">
        <v>760</v>
      </c>
      <c r="F387" s="81">
        <v>4</v>
      </c>
      <c r="G387" s="88">
        <f t="shared" si="276"/>
        <v>22.543499999999998</v>
      </c>
      <c r="H387" s="88">
        <f t="shared" si="277"/>
        <v>41.866500000000002</v>
      </c>
      <c r="I387" s="89">
        <v>64.41</v>
      </c>
      <c r="J387" s="14">
        <f t="shared" si="278"/>
        <v>83.082459</v>
      </c>
      <c r="K387" s="15">
        <f t="shared" si="279"/>
        <v>332.329836</v>
      </c>
      <c r="L387" s="2"/>
      <c r="M387" s="2"/>
      <c r="N387" s="252">
        <f t="shared" si="274"/>
        <v>90.173999999999992</v>
      </c>
      <c r="O387" s="252">
        <f t="shared" si="275"/>
        <v>167.46600000000001</v>
      </c>
      <c r="P387" s="25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s="251" customFormat="1" ht="30" x14ac:dyDescent="0.2">
      <c r="A388" s="81" t="s">
        <v>1091</v>
      </c>
      <c r="B388" s="81" t="s">
        <v>726</v>
      </c>
      <c r="C388" s="88" t="s">
        <v>758</v>
      </c>
      <c r="D388" s="462"/>
      <c r="E388" s="88" t="s">
        <v>760</v>
      </c>
      <c r="F388" s="81">
        <v>1</v>
      </c>
      <c r="G388" s="88">
        <f t="shared" si="276"/>
        <v>71.126999999999995</v>
      </c>
      <c r="H388" s="88">
        <f t="shared" si="277"/>
        <v>132.09300000000002</v>
      </c>
      <c r="I388" s="89">
        <v>203.22</v>
      </c>
      <c r="J388" s="14">
        <f t="shared" si="278"/>
        <v>262.13347800000003</v>
      </c>
      <c r="K388" s="15">
        <f t="shared" si="279"/>
        <v>262.13347800000003</v>
      </c>
      <c r="L388" s="2"/>
      <c r="M388" s="2"/>
      <c r="N388" s="252">
        <f t="shared" si="274"/>
        <v>71.126999999999995</v>
      </c>
      <c r="O388" s="252">
        <f t="shared" si="275"/>
        <v>132.09300000000002</v>
      </c>
      <c r="P388" s="25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s="251" customFormat="1" ht="45" x14ac:dyDescent="0.2">
      <c r="A389" s="90" t="s">
        <v>1092</v>
      </c>
      <c r="B389" s="81" t="s">
        <v>727</v>
      </c>
      <c r="C389" s="88" t="s">
        <v>728</v>
      </c>
      <c r="D389" s="462"/>
      <c r="E389" s="88" t="s">
        <v>666</v>
      </c>
      <c r="F389" s="81">
        <v>1</v>
      </c>
      <c r="G389" s="88">
        <f t="shared" si="276"/>
        <v>171.59449999999998</v>
      </c>
      <c r="H389" s="88">
        <f t="shared" si="277"/>
        <v>318.6755</v>
      </c>
      <c r="I389" s="89">
        <v>490.27</v>
      </c>
      <c r="J389" s="14">
        <f t="shared" si="278"/>
        <v>632.39927299999999</v>
      </c>
      <c r="K389" s="15">
        <f t="shared" si="279"/>
        <v>632.39927299999999</v>
      </c>
      <c r="L389" s="2"/>
      <c r="M389" s="2"/>
      <c r="N389" s="252">
        <f t="shared" si="274"/>
        <v>171.59449999999998</v>
      </c>
      <c r="O389" s="252">
        <f t="shared" si="275"/>
        <v>318.6755</v>
      </c>
      <c r="P389" s="25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s="251" customFormat="1" ht="30" x14ac:dyDescent="0.2">
      <c r="A390" s="81" t="s">
        <v>1093</v>
      </c>
      <c r="B390" s="81" t="s">
        <v>750</v>
      </c>
      <c r="C390" s="81" t="s">
        <v>730</v>
      </c>
      <c r="D390" s="462"/>
      <c r="E390" s="88" t="s">
        <v>761</v>
      </c>
      <c r="F390" s="81">
        <v>1</v>
      </c>
      <c r="G390" s="88">
        <f t="shared" si="276"/>
        <v>149.11750000000001</v>
      </c>
      <c r="H390" s="88">
        <f t="shared" si="277"/>
        <v>276.9325</v>
      </c>
      <c r="I390" s="89">
        <v>426.05</v>
      </c>
      <c r="J390" s="14">
        <f t="shared" si="278"/>
        <v>549.56189500000005</v>
      </c>
      <c r="K390" s="15">
        <f t="shared" si="279"/>
        <v>549.56189500000005</v>
      </c>
      <c r="L390" s="2"/>
      <c r="M390" s="2"/>
      <c r="N390" s="252">
        <f t="shared" si="274"/>
        <v>149.11750000000001</v>
      </c>
      <c r="O390" s="252">
        <f t="shared" si="275"/>
        <v>276.9325</v>
      </c>
      <c r="P390" s="25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s="251" customFormat="1" ht="30" x14ac:dyDescent="0.2">
      <c r="A391" s="90" t="s">
        <v>1094</v>
      </c>
      <c r="B391" s="81" t="s">
        <v>731</v>
      </c>
      <c r="C391" s="81" t="s">
        <v>732</v>
      </c>
      <c r="D391" s="462"/>
      <c r="E391" s="88" t="s">
        <v>666</v>
      </c>
      <c r="F391" s="81">
        <v>3</v>
      </c>
      <c r="G391" s="88">
        <f t="shared" si="276"/>
        <v>6.5659999999999998</v>
      </c>
      <c r="H391" s="88">
        <f t="shared" si="277"/>
        <v>12.194000000000001</v>
      </c>
      <c r="I391" s="89">
        <v>18.760000000000002</v>
      </c>
      <c r="J391" s="14">
        <f t="shared" si="278"/>
        <v>24.198524000000003</v>
      </c>
      <c r="K391" s="15">
        <f t="shared" si="279"/>
        <v>72.595572000000004</v>
      </c>
      <c r="L391" s="2"/>
      <c r="M391" s="2"/>
      <c r="N391" s="252">
        <f t="shared" si="274"/>
        <v>19.698</v>
      </c>
      <c r="O391" s="252">
        <f t="shared" si="275"/>
        <v>36.582000000000001</v>
      </c>
      <c r="P391" s="25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s="251" customFormat="1" x14ac:dyDescent="0.2">
      <c r="A392" s="81" t="s">
        <v>1095</v>
      </c>
      <c r="B392" s="81" t="s">
        <v>733</v>
      </c>
      <c r="C392" s="92" t="s">
        <v>759</v>
      </c>
      <c r="D392" s="462"/>
      <c r="E392" s="88" t="s">
        <v>760</v>
      </c>
      <c r="F392" s="93">
        <v>4</v>
      </c>
      <c r="G392" s="88">
        <f t="shared" si="276"/>
        <v>8.2285000000000004</v>
      </c>
      <c r="H392" s="88">
        <f t="shared" si="277"/>
        <v>15.281500000000001</v>
      </c>
      <c r="I392" s="94">
        <v>23.51</v>
      </c>
      <c r="J392" s="14">
        <f t="shared" si="278"/>
        <v>30.325549000000002</v>
      </c>
      <c r="K392" s="15">
        <f t="shared" si="279"/>
        <v>121.30219600000001</v>
      </c>
      <c r="L392" s="2"/>
      <c r="M392" s="2"/>
      <c r="N392" s="252">
        <f t="shared" si="274"/>
        <v>32.914000000000001</v>
      </c>
      <c r="O392" s="252">
        <f t="shared" si="275"/>
        <v>61.126000000000005</v>
      </c>
      <c r="P392" s="25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s="251" customFormat="1" ht="30" x14ac:dyDescent="0.2">
      <c r="A393" s="90" t="s">
        <v>1096</v>
      </c>
      <c r="B393" s="81" t="s">
        <v>751</v>
      </c>
      <c r="C393" s="88" t="s">
        <v>735</v>
      </c>
      <c r="D393" s="462"/>
      <c r="E393" s="88" t="s">
        <v>761</v>
      </c>
      <c r="F393" s="81">
        <v>7</v>
      </c>
      <c r="G393" s="88">
        <f t="shared" si="276"/>
        <v>12.631500000000001</v>
      </c>
      <c r="H393" s="88">
        <f t="shared" si="277"/>
        <v>23.458500000000004</v>
      </c>
      <c r="I393" s="89">
        <v>36.090000000000003</v>
      </c>
      <c r="J393" s="14">
        <f t="shared" si="278"/>
        <v>46.552491000000003</v>
      </c>
      <c r="K393" s="15">
        <f t="shared" si="279"/>
        <v>325.867437</v>
      </c>
      <c r="L393" s="2"/>
      <c r="M393" s="2"/>
      <c r="N393" s="252">
        <f t="shared" si="274"/>
        <v>88.420500000000004</v>
      </c>
      <c r="O393" s="252">
        <f t="shared" si="275"/>
        <v>164.20950000000002</v>
      </c>
      <c r="P393" s="25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s="251" customFormat="1" ht="30" x14ac:dyDescent="0.2">
      <c r="A394" s="81" t="s">
        <v>1097</v>
      </c>
      <c r="B394" s="81" t="s">
        <v>752</v>
      </c>
      <c r="C394" s="88" t="s">
        <v>737</v>
      </c>
      <c r="D394" s="462"/>
      <c r="E394" s="88" t="s">
        <v>761</v>
      </c>
      <c r="F394" s="81">
        <v>5</v>
      </c>
      <c r="G394" s="88">
        <f t="shared" si="276"/>
        <v>25.539499999999997</v>
      </c>
      <c r="H394" s="88">
        <f t="shared" si="277"/>
        <v>47.430500000000002</v>
      </c>
      <c r="I394" s="89">
        <v>72.97</v>
      </c>
      <c r="J394" s="14">
        <f t="shared" si="278"/>
        <v>94.124003000000002</v>
      </c>
      <c r="K394" s="15">
        <f t="shared" si="279"/>
        <v>470.62001500000002</v>
      </c>
      <c r="L394" s="2"/>
      <c r="M394" s="2"/>
      <c r="N394" s="252">
        <f t="shared" si="274"/>
        <v>127.69749999999999</v>
      </c>
      <c r="O394" s="252">
        <f t="shared" si="275"/>
        <v>237.1525</v>
      </c>
      <c r="P394" s="25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s="251" customFormat="1" ht="30" x14ac:dyDescent="0.2">
      <c r="A395" s="90" t="s">
        <v>1098</v>
      </c>
      <c r="B395" s="81" t="s">
        <v>753</v>
      </c>
      <c r="C395" s="88" t="s">
        <v>739</v>
      </c>
      <c r="D395" s="462"/>
      <c r="E395" s="88" t="s">
        <v>761</v>
      </c>
      <c r="F395" s="81">
        <v>2</v>
      </c>
      <c r="G395" s="88">
        <f t="shared" si="276"/>
        <v>13.0235</v>
      </c>
      <c r="H395" s="88">
        <f t="shared" si="277"/>
        <v>24.186500000000002</v>
      </c>
      <c r="I395" s="89">
        <v>37.21</v>
      </c>
      <c r="J395" s="14">
        <f t="shared" si="278"/>
        <v>47.997179000000003</v>
      </c>
      <c r="K395" s="15">
        <f t="shared" si="279"/>
        <v>95.994358000000005</v>
      </c>
      <c r="L395" s="2"/>
      <c r="M395" s="2"/>
      <c r="N395" s="252">
        <f t="shared" si="274"/>
        <v>26.047000000000001</v>
      </c>
      <c r="O395" s="252">
        <f t="shared" si="275"/>
        <v>48.373000000000005</v>
      </c>
      <c r="P395" s="25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s="251" customFormat="1" ht="60" x14ac:dyDescent="0.2">
      <c r="A396" s="81" t="s">
        <v>1099</v>
      </c>
      <c r="B396" s="81" t="s">
        <v>754</v>
      </c>
      <c r="C396" s="88" t="s">
        <v>741</v>
      </c>
      <c r="D396" s="462"/>
      <c r="E396" s="88" t="s">
        <v>761</v>
      </c>
      <c r="F396" s="81">
        <v>17</v>
      </c>
      <c r="G396" s="88">
        <f t="shared" si="276"/>
        <v>161.44799999999998</v>
      </c>
      <c r="H396" s="88">
        <f t="shared" si="277"/>
        <v>299.83199999999999</v>
      </c>
      <c r="I396" s="89">
        <v>461.28</v>
      </c>
      <c r="J396" s="14">
        <f t="shared" si="278"/>
        <v>595.00507200000004</v>
      </c>
      <c r="K396" s="15">
        <f t="shared" si="279"/>
        <v>10115.086224000001</v>
      </c>
      <c r="L396" s="2"/>
      <c r="M396" s="2"/>
      <c r="N396" s="252">
        <f t="shared" si="274"/>
        <v>2744.6159999999995</v>
      </c>
      <c r="O396" s="252">
        <f t="shared" si="275"/>
        <v>5097.1440000000002</v>
      </c>
      <c r="P396" s="25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s="251" customFormat="1" ht="30" x14ac:dyDescent="0.2">
      <c r="A397" s="90" t="s">
        <v>1100</v>
      </c>
      <c r="B397" s="81" t="s">
        <v>742</v>
      </c>
      <c r="C397" s="88" t="s">
        <v>743</v>
      </c>
      <c r="D397" s="462"/>
      <c r="E397" s="88" t="s">
        <v>666</v>
      </c>
      <c r="F397" s="81">
        <v>1</v>
      </c>
      <c r="G397" s="88">
        <f t="shared" si="276"/>
        <v>18.8965</v>
      </c>
      <c r="H397" s="88">
        <f t="shared" si="277"/>
        <v>35.093500000000006</v>
      </c>
      <c r="I397" s="89">
        <v>53.99</v>
      </c>
      <c r="J397" s="14">
        <f t="shared" si="278"/>
        <v>69.641701000000012</v>
      </c>
      <c r="K397" s="15">
        <f t="shared" si="279"/>
        <v>69.641701000000012</v>
      </c>
      <c r="L397" s="2"/>
      <c r="M397" s="2"/>
      <c r="N397" s="252">
        <f t="shared" si="274"/>
        <v>18.8965</v>
      </c>
      <c r="O397" s="252">
        <f t="shared" si="275"/>
        <v>35.093500000000006</v>
      </c>
      <c r="P397" s="25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s="251" customFormat="1" ht="30" x14ac:dyDescent="0.2">
      <c r="A398" s="81" t="s">
        <v>1101</v>
      </c>
      <c r="B398" s="81" t="s">
        <v>744</v>
      </c>
      <c r="C398" s="88" t="s">
        <v>745</v>
      </c>
      <c r="D398" s="462"/>
      <c r="E398" s="88" t="s">
        <v>666</v>
      </c>
      <c r="F398" s="81">
        <v>1</v>
      </c>
      <c r="G398" s="88">
        <f t="shared" si="276"/>
        <v>25.703999999999997</v>
      </c>
      <c r="H398" s="88">
        <f t="shared" si="277"/>
        <v>47.735999999999997</v>
      </c>
      <c r="I398" s="89">
        <v>73.44</v>
      </c>
      <c r="J398" s="14">
        <f t="shared" si="278"/>
        <v>94.730255999999997</v>
      </c>
      <c r="K398" s="15">
        <f t="shared" si="279"/>
        <v>94.730255999999997</v>
      </c>
      <c r="L398" s="2"/>
      <c r="M398" s="2"/>
      <c r="N398" s="252">
        <f t="shared" si="274"/>
        <v>25.703999999999997</v>
      </c>
      <c r="O398" s="252">
        <f t="shared" si="275"/>
        <v>47.735999999999997</v>
      </c>
      <c r="P398" s="25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s="251" customFormat="1" ht="30" x14ac:dyDescent="0.2">
      <c r="A399" s="90" t="s">
        <v>1102</v>
      </c>
      <c r="B399" s="81" t="s">
        <v>746</v>
      </c>
      <c r="C399" s="88" t="s">
        <v>747</v>
      </c>
      <c r="D399" s="462"/>
      <c r="E399" s="88" t="s">
        <v>666</v>
      </c>
      <c r="F399" s="81">
        <v>1</v>
      </c>
      <c r="G399" s="88">
        <f t="shared" si="276"/>
        <v>24.002999999999997</v>
      </c>
      <c r="H399" s="88">
        <f t="shared" si="277"/>
        <v>44.576999999999998</v>
      </c>
      <c r="I399" s="89">
        <v>68.58</v>
      </c>
      <c r="J399" s="14">
        <f t="shared" si="278"/>
        <v>88.461342000000002</v>
      </c>
      <c r="K399" s="15">
        <f t="shared" si="279"/>
        <v>88.461342000000002</v>
      </c>
      <c r="L399" s="2"/>
      <c r="M399" s="2"/>
      <c r="N399" s="252">
        <f t="shared" si="274"/>
        <v>24.002999999999997</v>
      </c>
      <c r="O399" s="252">
        <f t="shared" si="275"/>
        <v>44.576999999999998</v>
      </c>
      <c r="P399" s="25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s="251" customFormat="1" ht="30" x14ac:dyDescent="0.2">
      <c r="A400" s="81" t="s">
        <v>1103</v>
      </c>
      <c r="B400" s="81" t="s">
        <v>755</v>
      </c>
      <c r="C400" s="88" t="s">
        <v>748</v>
      </c>
      <c r="D400" s="463"/>
      <c r="E400" s="88" t="s">
        <v>761</v>
      </c>
      <c r="F400" s="81">
        <v>2</v>
      </c>
      <c r="G400" s="88">
        <f t="shared" si="276"/>
        <v>119.97999999999999</v>
      </c>
      <c r="H400" s="88">
        <f t="shared" si="277"/>
        <v>222.82000000000002</v>
      </c>
      <c r="I400" s="89">
        <v>342.8</v>
      </c>
      <c r="J400" s="14">
        <f t="shared" si="278"/>
        <v>442.17772000000002</v>
      </c>
      <c r="K400" s="15">
        <f t="shared" si="279"/>
        <v>884.35544000000004</v>
      </c>
      <c r="L400" s="2"/>
      <c r="M400" s="2"/>
      <c r="N400" s="252">
        <f t="shared" si="274"/>
        <v>239.95999999999998</v>
      </c>
      <c r="O400" s="252">
        <f t="shared" si="275"/>
        <v>445.64000000000004</v>
      </c>
      <c r="P400" s="25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s="251" customFormat="1" ht="15" customHeight="1" x14ac:dyDescent="0.2">
      <c r="A401" s="345" t="s">
        <v>1042</v>
      </c>
      <c r="B401" s="346"/>
      <c r="C401" s="355"/>
      <c r="D401" s="355"/>
      <c r="E401" s="115"/>
      <c r="F401" s="116"/>
      <c r="G401" s="117"/>
      <c r="H401" s="117"/>
      <c r="I401" s="117"/>
      <c r="J401" s="296"/>
      <c r="K401" s="118">
        <f>SUM(K402:K423)</f>
        <v>9403.1197274799979</v>
      </c>
      <c r="L401" s="2"/>
      <c r="M401" s="2"/>
      <c r="N401" s="252"/>
      <c r="O401" s="25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s="251" customFormat="1" ht="30" x14ac:dyDescent="0.2">
      <c r="A402" s="81" t="s">
        <v>1104</v>
      </c>
      <c r="B402" s="215" t="s">
        <v>792</v>
      </c>
      <c r="C402" s="217" t="s">
        <v>793</v>
      </c>
      <c r="D402" s="464" t="s">
        <v>373</v>
      </c>
      <c r="E402" s="226" t="s">
        <v>666</v>
      </c>
      <c r="F402" s="125">
        <v>1</v>
      </c>
      <c r="G402" s="126">
        <f>I402*0.35</f>
        <v>66.125500000000002</v>
      </c>
      <c r="H402" s="126">
        <f>I402*0.65</f>
        <v>122.8045</v>
      </c>
      <c r="I402" s="126">
        <v>188.93</v>
      </c>
      <c r="J402" s="14">
        <f>I402*(1+$K$11)</f>
        <v>243.70080700000003</v>
      </c>
      <c r="K402" s="15">
        <f>J402*F402</f>
        <v>243.70080700000003</v>
      </c>
      <c r="L402" s="2"/>
      <c r="M402" s="2"/>
      <c r="N402" s="252">
        <f t="shared" ref="N402:N423" si="280">G402*F402</f>
        <v>66.125500000000002</v>
      </c>
      <c r="O402" s="252">
        <f t="shared" ref="O402:O423" si="281">H402*F402</f>
        <v>122.8045</v>
      </c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s="251" customFormat="1" ht="30" x14ac:dyDescent="0.2">
      <c r="A403" s="81" t="s">
        <v>1105</v>
      </c>
      <c r="B403" s="215" t="s">
        <v>794</v>
      </c>
      <c r="C403" s="218" t="s">
        <v>795</v>
      </c>
      <c r="D403" s="465"/>
      <c r="E403" s="226" t="s">
        <v>666</v>
      </c>
      <c r="F403" s="125">
        <v>2</v>
      </c>
      <c r="G403" s="126">
        <f t="shared" ref="G403:G423" si="282">I403*0.35</f>
        <v>74.350499999999997</v>
      </c>
      <c r="H403" s="126">
        <f t="shared" ref="H403:H423" si="283">I403*0.65</f>
        <v>138.0795</v>
      </c>
      <c r="I403" s="126">
        <v>212.43</v>
      </c>
      <c r="J403" s="14">
        <f t="shared" ref="J403:J423" si="284">I403*(1+$K$11)</f>
        <v>274.01345700000002</v>
      </c>
      <c r="K403" s="15">
        <f t="shared" ref="K403:K423" si="285">J403*F403</f>
        <v>548.02691400000003</v>
      </c>
      <c r="L403" s="2"/>
      <c r="M403" s="2"/>
      <c r="N403" s="252">
        <f t="shared" si="280"/>
        <v>148.70099999999999</v>
      </c>
      <c r="O403" s="252">
        <f t="shared" si="281"/>
        <v>276.15899999999999</v>
      </c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s="251" customFormat="1" x14ac:dyDescent="0.2">
      <c r="A404" s="81" t="s">
        <v>1106</v>
      </c>
      <c r="B404" s="216" t="s">
        <v>804</v>
      </c>
      <c r="C404" s="219" t="s">
        <v>796</v>
      </c>
      <c r="D404" s="465"/>
      <c r="E404" s="127" t="s">
        <v>761</v>
      </c>
      <c r="F404" s="128">
        <v>4</v>
      </c>
      <c r="G404" s="126">
        <f t="shared" si="282"/>
        <v>87.594499999999996</v>
      </c>
      <c r="H404" s="126">
        <f t="shared" si="283"/>
        <v>162.6755</v>
      </c>
      <c r="I404" s="129">
        <v>250.27</v>
      </c>
      <c r="J404" s="14">
        <f t="shared" si="284"/>
        <v>322.82327300000003</v>
      </c>
      <c r="K404" s="15">
        <f t="shared" si="285"/>
        <v>1291.2930920000001</v>
      </c>
      <c r="L404" s="2"/>
      <c r="M404" s="2"/>
      <c r="N404" s="252">
        <f t="shared" si="280"/>
        <v>350.37799999999999</v>
      </c>
      <c r="O404" s="252">
        <f t="shared" si="281"/>
        <v>650.702</v>
      </c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s="251" customFormat="1" ht="30" x14ac:dyDescent="0.2">
      <c r="A405" s="81" t="s">
        <v>1107</v>
      </c>
      <c r="B405" s="216" t="s">
        <v>615</v>
      </c>
      <c r="C405" s="223" t="s">
        <v>374</v>
      </c>
      <c r="D405" s="465"/>
      <c r="E405" s="226" t="s">
        <v>761</v>
      </c>
      <c r="F405" s="125">
        <v>1</v>
      </c>
      <c r="G405" s="126">
        <f t="shared" si="282"/>
        <v>19.515999999999998</v>
      </c>
      <c r="H405" s="126">
        <f t="shared" si="283"/>
        <v>36.244</v>
      </c>
      <c r="I405" s="126">
        <v>55.76</v>
      </c>
      <c r="J405" s="14">
        <f t="shared" si="284"/>
        <v>71.924824000000001</v>
      </c>
      <c r="K405" s="15">
        <f t="shared" si="285"/>
        <v>71.924824000000001</v>
      </c>
      <c r="L405" s="2"/>
      <c r="M405" s="2"/>
      <c r="N405" s="252">
        <f t="shared" si="280"/>
        <v>19.515999999999998</v>
      </c>
      <c r="O405" s="252">
        <f t="shared" si="281"/>
        <v>36.244</v>
      </c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s="251" customFormat="1" ht="45" x14ac:dyDescent="0.2">
      <c r="A406" s="81" t="s">
        <v>1108</v>
      </c>
      <c r="B406" s="216" t="s">
        <v>805</v>
      </c>
      <c r="C406" s="224" t="s">
        <v>797</v>
      </c>
      <c r="D406" s="465"/>
      <c r="E406" s="227" t="s">
        <v>761</v>
      </c>
      <c r="F406" s="125">
        <v>3</v>
      </c>
      <c r="G406" s="126">
        <f t="shared" si="282"/>
        <v>92.763999999999996</v>
      </c>
      <c r="H406" s="126">
        <f t="shared" si="283"/>
        <v>172.27600000000001</v>
      </c>
      <c r="I406" s="126">
        <v>265.04000000000002</v>
      </c>
      <c r="J406" s="14">
        <f t="shared" si="284"/>
        <v>341.87509600000004</v>
      </c>
      <c r="K406" s="15">
        <f t="shared" si="285"/>
        <v>1025.6252880000002</v>
      </c>
      <c r="L406" s="2"/>
      <c r="M406" s="2"/>
      <c r="N406" s="252">
        <f t="shared" si="280"/>
        <v>278.29199999999997</v>
      </c>
      <c r="O406" s="252">
        <f t="shared" si="281"/>
        <v>516.82799999999997</v>
      </c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s="251" customFormat="1" ht="30" x14ac:dyDescent="0.2">
      <c r="A407" s="81" t="s">
        <v>1109</v>
      </c>
      <c r="B407" s="216" t="s">
        <v>615</v>
      </c>
      <c r="C407" s="223" t="s">
        <v>798</v>
      </c>
      <c r="D407" s="465"/>
      <c r="E407" s="227" t="s">
        <v>761</v>
      </c>
      <c r="F407" s="125">
        <v>1</v>
      </c>
      <c r="G407" s="126">
        <f t="shared" si="282"/>
        <v>21.664999999999999</v>
      </c>
      <c r="H407" s="126">
        <f t="shared" si="283"/>
        <v>40.234999999999999</v>
      </c>
      <c r="I407" s="126">
        <v>61.9</v>
      </c>
      <c r="J407" s="14">
        <f t="shared" si="284"/>
        <v>79.844809999999995</v>
      </c>
      <c r="K407" s="15">
        <f t="shared" si="285"/>
        <v>79.844809999999995</v>
      </c>
      <c r="L407" s="2"/>
      <c r="M407" s="2"/>
      <c r="N407" s="252">
        <f t="shared" si="280"/>
        <v>21.664999999999999</v>
      </c>
      <c r="O407" s="252">
        <f t="shared" si="281"/>
        <v>40.234999999999999</v>
      </c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s="251" customFormat="1" x14ac:dyDescent="0.2">
      <c r="A408" s="81" t="s">
        <v>1110</v>
      </c>
      <c r="B408" s="216" t="s">
        <v>615</v>
      </c>
      <c r="C408" s="220" t="s">
        <v>799</v>
      </c>
      <c r="D408" s="465"/>
      <c r="E408" s="227" t="s">
        <v>761</v>
      </c>
      <c r="F408" s="125">
        <v>1</v>
      </c>
      <c r="G408" s="126">
        <f t="shared" si="282"/>
        <v>5.9149999999999991</v>
      </c>
      <c r="H408" s="126">
        <f t="shared" si="283"/>
        <v>10.984999999999999</v>
      </c>
      <c r="I408" s="126">
        <v>16.899999999999999</v>
      </c>
      <c r="J408" s="14">
        <f t="shared" si="284"/>
        <v>21.799309999999998</v>
      </c>
      <c r="K408" s="15">
        <f t="shared" si="285"/>
        <v>21.799309999999998</v>
      </c>
      <c r="L408" s="2"/>
      <c r="M408" s="2"/>
      <c r="N408" s="252">
        <f t="shared" si="280"/>
        <v>5.9149999999999991</v>
      </c>
      <c r="O408" s="252">
        <f t="shared" si="281"/>
        <v>10.984999999999999</v>
      </c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s="251" customFormat="1" x14ac:dyDescent="0.2">
      <c r="A409" s="81" t="s">
        <v>1111</v>
      </c>
      <c r="B409" s="216" t="s">
        <v>806</v>
      </c>
      <c r="C409" s="221" t="s">
        <v>800</v>
      </c>
      <c r="D409" s="465"/>
      <c r="E409" s="227" t="s">
        <v>761</v>
      </c>
      <c r="F409" s="125">
        <v>1</v>
      </c>
      <c r="G409" s="126">
        <f t="shared" si="282"/>
        <v>278.86949999999996</v>
      </c>
      <c r="H409" s="126">
        <f t="shared" si="283"/>
        <v>517.90049999999997</v>
      </c>
      <c r="I409" s="126">
        <v>796.77</v>
      </c>
      <c r="J409" s="14">
        <f t="shared" si="284"/>
        <v>1027.7536230000001</v>
      </c>
      <c r="K409" s="15">
        <f t="shared" si="285"/>
        <v>1027.7536230000001</v>
      </c>
      <c r="L409" s="2"/>
      <c r="M409" s="2"/>
      <c r="N409" s="252">
        <f t="shared" si="280"/>
        <v>278.86949999999996</v>
      </c>
      <c r="O409" s="252">
        <f t="shared" si="281"/>
        <v>517.90049999999997</v>
      </c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s="251" customFormat="1" x14ac:dyDescent="0.2">
      <c r="A410" s="81" t="s">
        <v>1112</v>
      </c>
      <c r="B410" s="216" t="s">
        <v>807</v>
      </c>
      <c r="C410" s="221" t="s">
        <v>801</v>
      </c>
      <c r="D410" s="465"/>
      <c r="E410" s="227" t="s">
        <v>761</v>
      </c>
      <c r="F410" s="125">
        <v>5</v>
      </c>
      <c r="G410" s="126">
        <f t="shared" si="282"/>
        <v>32.868499999999997</v>
      </c>
      <c r="H410" s="126">
        <f t="shared" si="283"/>
        <v>61.041499999999999</v>
      </c>
      <c r="I410" s="126">
        <v>93.91</v>
      </c>
      <c r="J410" s="14">
        <f t="shared" si="284"/>
        <v>121.13450899999999</v>
      </c>
      <c r="K410" s="15">
        <f t="shared" si="285"/>
        <v>605.67254500000001</v>
      </c>
      <c r="L410" s="2"/>
      <c r="M410" s="2"/>
      <c r="N410" s="252">
        <f t="shared" si="280"/>
        <v>164.34249999999997</v>
      </c>
      <c r="O410" s="252">
        <f t="shared" si="281"/>
        <v>305.20749999999998</v>
      </c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s="251" customFormat="1" x14ac:dyDescent="0.2">
      <c r="A411" s="81" t="s">
        <v>1113</v>
      </c>
      <c r="B411" s="216" t="s">
        <v>808</v>
      </c>
      <c r="C411" s="222" t="s">
        <v>802</v>
      </c>
      <c r="D411" s="465"/>
      <c r="E411" s="227" t="s">
        <v>761</v>
      </c>
      <c r="F411" s="125">
        <v>5</v>
      </c>
      <c r="G411" s="126">
        <f t="shared" si="282"/>
        <v>56.906499999999994</v>
      </c>
      <c r="H411" s="126">
        <f t="shared" si="283"/>
        <v>105.68350000000001</v>
      </c>
      <c r="I411" s="126">
        <v>162.59</v>
      </c>
      <c r="J411" s="14">
        <f t="shared" si="284"/>
        <v>209.724841</v>
      </c>
      <c r="K411" s="15">
        <f t="shared" si="285"/>
        <v>1048.6242050000001</v>
      </c>
      <c r="L411" s="2"/>
      <c r="M411" s="2"/>
      <c r="N411" s="252">
        <f t="shared" si="280"/>
        <v>284.53249999999997</v>
      </c>
      <c r="O411" s="252">
        <f t="shared" si="281"/>
        <v>528.41750000000002</v>
      </c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s="251" customFormat="1" x14ac:dyDescent="0.2">
      <c r="A412" s="81" t="s">
        <v>1114</v>
      </c>
      <c r="B412" s="216" t="s">
        <v>809</v>
      </c>
      <c r="C412" s="225" t="s">
        <v>803</v>
      </c>
      <c r="D412" s="466"/>
      <c r="E412" s="226" t="s">
        <v>761</v>
      </c>
      <c r="F412" s="125">
        <v>4</v>
      </c>
      <c r="G412" s="126">
        <f t="shared" si="282"/>
        <v>41.849499999999992</v>
      </c>
      <c r="H412" s="126">
        <f t="shared" si="283"/>
        <v>77.720500000000001</v>
      </c>
      <c r="I412" s="126">
        <v>119.57</v>
      </c>
      <c r="J412" s="14">
        <f t="shared" si="284"/>
        <v>154.23334299999999</v>
      </c>
      <c r="K412" s="15">
        <f t="shared" si="285"/>
        <v>616.93337199999996</v>
      </c>
      <c r="L412" s="2"/>
      <c r="M412" s="2"/>
      <c r="N412" s="252">
        <f t="shared" si="280"/>
        <v>167.39799999999997</v>
      </c>
      <c r="O412" s="252">
        <f t="shared" si="281"/>
        <v>310.88200000000001</v>
      </c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s="251" customFormat="1" ht="45" x14ac:dyDescent="0.2">
      <c r="A413" s="81" t="s">
        <v>1115</v>
      </c>
      <c r="B413" s="120" t="s">
        <v>810</v>
      </c>
      <c r="C413" s="119" t="s">
        <v>811</v>
      </c>
      <c r="D413" s="467" t="s">
        <v>830</v>
      </c>
      <c r="E413" s="130" t="s">
        <v>375</v>
      </c>
      <c r="F413" s="125">
        <v>2.86</v>
      </c>
      <c r="G413" s="126">
        <f t="shared" si="282"/>
        <v>32.7425</v>
      </c>
      <c r="H413" s="126">
        <f t="shared" si="283"/>
        <v>60.807499999999997</v>
      </c>
      <c r="I413" s="126">
        <v>93.55</v>
      </c>
      <c r="J413" s="14">
        <f t="shared" si="284"/>
        <v>120.67014500000001</v>
      </c>
      <c r="K413" s="15">
        <f t="shared" si="285"/>
        <v>345.11661470000001</v>
      </c>
      <c r="L413" s="2"/>
      <c r="M413" s="2"/>
      <c r="N413" s="252">
        <f t="shared" si="280"/>
        <v>93.643549999999991</v>
      </c>
      <c r="O413" s="252">
        <f t="shared" si="281"/>
        <v>173.90944999999999</v>
      </c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s="251" customFormat="1" ht="45" x14ac:dyDescent="0.2">
      <c r="A414" s="81" t="s">
        <v>1116</v>
      </c>
      <c r="B414" s="120" t="s">
        <v>812</v>
      </c>
      <c r="C414" s="121" t="s">
        <v>813</v>
      </c>
      <c r="D414" s="467"/>
      <c r="E414" s="130" t="s">
        <v>375</v>
      </c>
      <c r="F414" s="125">
        <v>4.38</v>
      </c>
      <c r="G414" s="126">
        <f t="shared" si="282"/>
        <v>13.884499999999999</v>
      </c>
      <c r="H414" s="126">
        <f t="shared" si="283"/>
        <v>25.785500000000003</v>
      </c>
      <c r="I414" s="126">
        <v>39.67</v>
      </c>
      <c r="J414" s="14">
        <f t="shared" si="284"/>
        <v>51.170333000000007</v>
      </c>
      <c r="K414" s="15">
        <f t="shared" si="285"/>
        <v>224.12605854000003</v>
      </c>
      <c r="L414" s="2"/>
      <c r="M414" s="2"/>
      <c r="N414" s="252">
        <f t="shared" si="280"/>
        <v>60.814109999999992</v>
      </c>
      <c r="O414" s="252">
        <f t="shared" si="281"/>
        <v>112.94049000000001</v>
      </c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s="251" customFormat="1" ht="45" x14ac:dyDescent="0.2">
      <c r="A415" s="81" t="s">
        <v>1117</v>
      </c>
      <c r="B415" s="120" t="s">
        <v>814</v>
      </c>
      <c r="C415" s="121" t="s">
        <v>815</v>
      </c>
      <c r="D415" s="467"/>
      <c r="E415" s="130" t="s">
        <v>506</v>
      </c>
      <c r="F415" s="125">
        <v>0.06</v>
      </c>
      <c r="G415" s="126">
        <f t="shared" si="282"/>
        <v>284.78099999999995</v>
      </c>
      <c r="H415" s="126">
        <f t="shared" si="283"/>
        <v>528.87900000000002</v>
      </c>
      <c r="I415" s="126">
        <v>813.66</v>
      </c>
      <c r="J415" s="14">
        <f t="shared" si="284"/>
        <v>1049.5400340000001</v>
      </c>
      <c r="K415" s="15">
        <f t="shared" si="285"/>
        <v>62.972402040000006</v>
      </c>
      <c r="L415" s="2"/>
      <c r="M415" s="2"/>
      <c r="N415" s="252">
        <f t="shared" si="280"/>
        <v>17.086859999999998</v>
      </c>
      <c r="O415" s="252">
        <f t="shared" si="281"/>
        <v>31.73274</v>
      </c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s="251" customFormat="1" ht="30" x14ac:dyDescent="0.2">
      <c r="A416" s="81" t="s">
        <v>1118</v>
      </c>
      <c r="B416" s="81" t="s">
        <v>816</v>
      </c>
      <c r="C416" s="122" t="s">
        <v>817</v>
      </c>
      <c r="D416" s="467"/>
      <c r="E416" s="130" t="s">
        <v>506</v>
      </c>
      <c r="F416" s="125">
        <v>0.1</v>
      </c>
      <c r="G416" s="126">
        <f t="shared" si="282"/>
        <v>848.11999999999989</v>
      </c>
      <c r="H416" s="126">
        <f t="shared" si="283"/>
        <v>1575.08</v>
      </c>
      <c r="I416" s="126">
        <v>2423.1999999999998</v>
      </c>
      <c r="J416" s="14">
        <f t="shared" si="284"/>
        <v>3125.68568</v>
      </c>
      <c r="K416" s="15">
        <f t="shared" si="285"/>
        <v>312.56856800000003</v>
      </c>
      <c r="L416" s="2"/>
      <c r="M416" s="2"/>
      <c r="N416" s="252">
        <f t="shared" si="280"/>
        <v>84.811999999999998</v>
      </c>
      <c r="O416" s="252">
        <f t="shared" si="281"/>
        <v>157.50800000000001</v>
      </c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s="251" customFormat="1" ht="30" x14ac:dyDescent="0.2">
      <c r="A417" s="81" t="s">
        <v>1119</v>
      </c>
      <c r="B417" s="6" t="s">
        <v>818</v>
      </c>
      <c r="C417" s="122" t="s">
        <v>829</v>
      </c>
      <c r="D417" s="467"/>
      <c r="E417" s="131" t="s">
        <v>375</v>
      </c>
      <c r="F417" s="125">
        <v>0.8</v>
      </c>
      <c r="G417" s="126">
        <f t="shared" si="282"/>
        <v>180.27099999999996</v>
      </c>
      <c r="H417" s="126">
        <f t="shared" si="283"/>
        <v>334.78899999999999</v>
      </c>
      <c r="I417" s="126">
        <v>515.05999999999995</v>
      </c>
      <c r="J417" s="14">
        <f t="shared" si="284"/>
        <v>664.3758939999999</v>
      </c>
      <c r="K417" s="15">
        <f t="shared" si="285"/>
        <v>531.50071519999995</v>
      </c>
      <c r="L417" s="2"/>
      <c r="M417" s="2"/>
      <c r="N417" s="252">
        <f t="shared" si="280"/>
        <v>144.21679999999998</v>
      </c>
      <c r="O417" s="252">
        <f t="shared" si="281"/>
        <v>267.83120000000002</v>
      </c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s="251" customFormat="1" ht="45" x14ac:dyDescent="0.2">
      <c r="A418" s="81" t="s">
        <v>1120</v>
      </c>
      <c r="B418" s="6" t="s">
        <v>819</v>
      </c>
      <c r="C418" s="122" t="s">
        <v>820</v>
      </c>
      <c r="D418" s="467"/>
      <c r="E418" s="131" t="s">
        <v>347</v>
      </c>
      <c r="F418" s="125">
        <v>11.5</v>
      </c>
      <c r="G418" s="126">
        <f t="shared" si="282"/>
        <v>20.314</v>
      </c>
      <c r="H418" s="126">
        <f t="shared" si="283"/>
        <v>37.725999999999999</v>
      </c>
      <c r="I418" s="126">
        <v>58.04</v>
      </c>
      <c r="J418" s="14">
        <f t="shared" si="284"/>
        <v>74.865796000000003</v>
      </c>
      <c r="K418" s="15">
        <f t="shared" si="285"/>
        <v>860.95665400000007</v>
      </c>
      <c r="L418" s="2"/>
      <c r="M418" s="2"/>
      <c r="N418" s="252">
        <f t="shared" si="280"/>
        <v>233.61099999999999</v>
      </c>
      <c r="O418" s="252">
        <f t="shared" si="281"/>
        <v>433.84899999999999</v>
      </c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s="251" customFormat="1" ht="45" x14ac:dyDescent="0.2">
      <c r="A419" s="81" t="s">
        <v>1121</v>
      </c>
      <c r="B419" s="6" t="s">
        <v>821</v>
      </c>
      <c r="C419" s="122" t="s">
        <v>822</v>
      </c>
      <c r="D419" s="467"/>
      <c r="E419" s="131" t="s">
        <v>666</v>
      </c>
      <c r="F419" s="125">
        <v>5</v>
      </c>
      <c r="G419" s="126">
        <f t="shared" si="282"/>
        <v>12.092499999999998</v>
      </c>
      <c r="H419" s="126">
        <f t="shared" si="283"/>
        <v>22.4575</v>
      </c>
      <c r="I419" s="126">
        <v>34.549999999999997</v>
      </c>
      <c r="J419" s="14">
        <f t="shared" si="284"/>
        <v>44.566044999999995</v>
      </c>
      <c r="K419" s="15">
        <f t="shared" si="285"/>
        <v>222.83022499999998</v>
      </c>
      <c r="L419" s="2"/>
      <c r="M419" s="2"/>
      <c r="N419" s="252">
        <f t="shared" si="280"/>
        <v>60.462499999999991</v>
      </c>
      <c r="O419" s="252">
        <f t="shared" si="281"/>
        <v>112.28749999999999</v>
      </c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s="251" customFormat="1" ht="30" x14ac:dyDescent="0.2">
      <c r="A420" s="81" t="s">
        <v>1122</v>
      </c>
      <c r="B420" s="81" t="s">
        <v>823</v>
      </c>
      <c r="C420" s="122" t="s">
        <v>824</v>
      </c>
      <c r="D420" s="467"/>
      <c r="E420" s="124" t="s">
        <v>666</v>
      </c>
      <c r="F420" s="125">
        <v>1</v>
      </c>
      <c r="G420" s="126">
        <f t="shared" si="282"/>
        <v>15.6625</v>
      </c>
      <c r="H420" s="126">
        <f t="shared" si="283"/>
        <v>29.087500000000002</v>
      </c>
      <c r="I420" s="126">
        <v>44.75</v>
      </c>
      <c r="J420" s="14">
        <f t="shared" si="284"/>
        <v>57.723025</v>
      </c>
      <c r="K420" s="15">
        <f t="shared" si="285"/>
        <v>57.723025</v>
      </c>
      <c r="L420" s="2"/>
      <c r="M420" s="2"/>
      <c r="N420" s="252">
        <f t="shared" si="280"/>
        <v>15.6625</v>
      </c>
      <c r="O420" s="252">
        <f t="shared" si="281"/>
        <v>29.087500000000002</v>
      </c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s="251" customFormat="1" ht="30" x14ac:dyDescent="0.2">
      <c r="A421" s="81" t="s">
        <v>1123</v>
      </c>
      <c r="B421" s="81" t="s">
        <v>825</v>
      </c>
      <c r="C421" s="122" t="s">
        <v>828</v>
      </c>
      <c r="D421" s="467"/>
      <c r="E421" s="124" t="s">
        <v>831</v>
      </c>
      <c r="F421" s="125">
        <v>1</v>
      </c>
      <c r="G421" s="126">
        <f t="shared" si="282"/>
        <v>4.3644999999999996</v>
      </c>
      <c r="H421" s="126">
        <f t="shared" si="283"/>
        <v>8.105500000000001</v>
      </c>
      <c r="I421" s="126">
        <v>12.47</v>
      </c>
      <c r="J421" s="14">
        <f t="shared" si="284"/>
        <v>16.085053000000002</v>
      </c>
      <c r="K421" s="15">
        <f t="shared" si="285"/>
        <v>16.085053000000002</v>
      </c>
      <c r="L421" s="2"/>
      <c r="M421" s="2"/>
      <c r="N421" s="252">
        <f t="shared" si="280"/>
        <v>4.3644999999999996</v>
      </c>
      <c r="O421" s="252">
        <f t="shared" si="281"/>
        <v>8.105500000000001</v>
      </c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s="251" customFormat="1" ht="45" x14ac:dyDescent="0.2">
      <c r="A422" s="81" t="s">
        <v>1124</v>
      </c>
      <c r="B422" s="81" t="s">
        <v>826</v>
      </c>
      <c r="C422" s="122" t="s">
        <v>827</v>
      </c>
      <c r="D422" s="467"/>
      <c r="E422" s="124" t="s">
        <v>666</v>
      </c>
      <c r="F422" s="125">
        <v>2</v>
      </c>
      <c r="G422" s="126">
        <f t="shared" si="282"/>
        <v>11.574499999999999</v>
      </c>
      <c r="H422" s="126">
        <f t="shared" si="283"/>
        <v>21.4955</v>
      </c>
      <c r="I422" s="126">
        <v>33.07</v>
      </c>
      <c r="J422" s="14">
        <f t="shared" si="284"/>
        <v>42.656993</v>
      </c>
      <c r="K422" s="15">
        <f t="shared" si="285"/>
        <v>85.313986</v>
      </c>
      <c r="L422" s="2"/>
      <c r="M422" s="2"/>
      <c r="N422" s="252">
        <f t="shared" si="280"/>
        <v>23.148999999999997</v>
      </c>
      <c r="O422" s="252">
        <f t="shared" si="281"/>
        <v>42.991</v>
      </c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s="251" customFormat="1" ht="30" x14ac:dyDescent="0.2">
      <c r="A423" s="81" t="s">
        <v>1125</v>
      </c>
      <c r="B423" s="133" t="s">
        <v>615</v>
      </c>
      <c r="C423" s="134" t="s">
        <v>376</v>
      </c>
      <c r="D423" s="467"/>
      <c r="E423" s="124" t="s">
        <v>8</v>
      </c>
      <c r="F423" s="132">
        <v>2</v>
      </c>
      <c r="G423" s="126">
        <f t="shared" si="282"/>
        <v>13.936999999999999</v>
      </c>
      <c r="H423" s="126">
        <f t="shared" si="283"/>
        <v>25.883000000000003</v>
      </c>
      <c r="I423" s="126">
        <v>39.82</v>
      </c>
      <c r="J423" s="14">
        <f t="shared" si="284"/>
        <v>51.363818000000002</v>
      </c>
      <c r="K423" s="15">
        <f t="shared" si="285"/>
        <v>102.727636</v>
      </c>
      <c r="L423" s="87"/>
      <c r="M423" s="87"/>
      <c r="N423" s="252">
        <f t="shared" si="280"/>
        <v>27.873999999999999</v>
      </c>
      <c r="O423" s="252">
        <f t="shared" si="281"/>
        <v>51.766000000000005</v>
      </c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  <c r="AA423" s="87"/>
      <c r="AB423" s="87"/>
      <c r="AC423" s="87"/>
      <c r="AD423" s="87"/>
    </row>
    <row r="424" spans="1:30" ht="18.75" x14ac:dyDescent="0.2">
      <c r="A424" s="456" t="s">
        <v>329</v>
      </c>
      <c r="B424" s="457"/>
      <c r="C424" s="457"/>
      <c r="D424" s="457"/>
      <c r="E424" s="457"/>
      <c r="F424" s="457"/>
      <c r="G424" s="457"/>
      <c r="H424" s="457"/>
      <c r="I424" s="457"/>
      <c r="J424" s="458"/>
      <c r="K424" s="63">
        <f>SUM(K354,K348,K313,K299,K265,K236,K221,K198,K167,K141,K112,K100,K70,K46,K18,K357,K401)</f>
        <v>836454.46267072798</v>
      </c>
      <c r="L424" s="2"/>
      <c r="M424" s="16"/>
      <c r="N424" s="16">
        <f>SUM(N19:N423)</f>
        <v>244420.85073300006</v>
      </c>
      <c r="O424" s="16">
        <f>SUM(O19:O423)</f>
        <v>404043.72998699994</v>
      </c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30" ht="14.25" customHeight="1" x14ac:dyDescent="0.2">
      <c r="A425" s="423"/>
      <c r="B425" s="424"/>
      <c r="C425" s="424"/>
      <c r="D425" s="424"/>
      <c r="E425" s="424"/>
      <c r="F425" s="424"/>
      <c r="G425" s="424"/>
      <c r="H425" s="424"/>
      <c r="I425" s="424"/>
      <c r="J425" s="425"/>
      <c r="K425" s="426"/>
      <c r="L425" s="2"/>
      <c r="M425" s="2"/>
      <c r="N425" s="421">
        <f>N424+O424</f>
        <v>648464.58071999997</v>
      </c>
      <c r="O425" s="42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30" ht="14.25" customHeight="1" x14ac:dyDescent="0.2">
      <c r="A426" s="2"/>
      <c r="B426" s="3"/>
      <c r="C426" s="3"/>
      <c r="D426" s="3"/>
      <c r="E426" s="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30" ht="14.25" customHeight="1" x14ac:dyDescent="0.2">
      <c r="A427" s="459" t="s">
        <v>1041</v>
      </c>
      <c r="B427" s="460"/>
      <c r="C427" s="460"/>
      <c r="D427" s="460"/>
      <c r="E427" s="460"/>
      <c r="F427" s="460"/>
      <c r="G427" s="460"/>
      <c r="H427" s="460"/>
      <c r="I427" s="460"/>
      <c r="J427" s="460"/>
      <c r="K427" s="64">
        <f>K424-K433</f>
        <v>648464.58071999997</v>
      </c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30" ht="14.25" customHeight="1" x14ac:dyDescent="0.2">
      <c r="A428" s="2"/>
      <c r="B428" s="3"/>
      <c r="C428" s="3"/>
      <c r="D428" s="3"/>
      <c r="E428" s="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30" ht="14.25" customHeight="1" x14ac:dyDescent="0.2">
      <c r="A429" s="459" t="s">
        <v>330</v>
      </c>
      <c r="B429" s="460"/>
      <c r="C429" s="460"/>
      <c r="D429" s="460"/>
      <c r="E429" s="460"/>
      <c r="F429" s="460"/>
      <c r="G429" s="460"/>
      <c r="H429" s="460"/>
      <c r="I429" s="460"/>
      <c r="J429" s="460"/>
      <c r="K429" s="64">
        <f>N424</f>
        <v>244420.85073300006</v>
      </c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30" ht="14.25" customHeight="1" x14ac:dyDescent="0.2">
      <c r="A430" s="2"/>
      <c r="B430" s="3"/>
      <c r="C430" s="3"/>
      <c r="D430" s="3"/>
      <c r="E430" s="4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30" ht="14.25" customHeight="1" x14ac:dyDescent="0.2">
      <c r="A431" s="459" t="s">
        <v>331</v>
      </c>
      <c r="B431" s="460"/>
      <c r="C431" s="460"/>
      <c r="D431" s="460"/>
      <c r="E431" s="460"/>
      <c r="F431" s="460"/>
      <c r="G431" s="460"/>
      <c r="H431" s="460"/>
      <c r="I431" s="460"/>
      <c r="J431" s="460"/>
      <c r="K431" s="64">
        <f>O424</f>
        <v>404043.72998699994</v>
      </c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30" ht="14.25" customHeight="1" x14ac:dyDescent="0.2">
      <c r="A432" s="2"/>
      <c r="B432" s="3"/>
      <c r="C432" s="3"/>
      <c r="D432" s="3"/>
      <c r="E432" s="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4.25" customHeight="1" x14ac:dyDescent="0.2">
      <c r="A433" s="459" t="s">
        <v>1025</v>
      </c>
      <c r="B433" s="460"/>
      <c r="C433" s="460"/>
      <c r="D433" s="460"/>
      <c r="E433" s="460"/>
      <c r="F433" s="460"/>
      <c r="G433" s="460"/>
      <c r="H433" s="460"/>
      <c r="I433" s="460"/>
      <c r="J433" s="460"/>
      <c r="K433" s="64">
        <f>(K429+K431)*0.2899</f>
        <v>187989.88195072798</v>
      </c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4.25" customHeight="1" x14ac:dyDescent="0.2">
      <c r="A434" s="2"/>
      <c r="B434" s="3"/>
      <c r="C434" s="3"/>
      <c r="D434" s="3"/>
      <c r="E434" s="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4.25" customHeight="1" x14ac:dyDescent="0.2">
      <c r="A435" s="459" t="s">
        <v>1024</v>
      </c>
      <c r="B435" s="460"/>
      <c r="C435" s="460"/>
      <c r="D435" s="460"/>
      <c r="E435" s="460"/>
      <c r="F435" s="460"/>
      <c r="G435" s="460"/>
      <c r="H435" s="460"/>
      <c r="I435" s="460"/>
      <c r="J435" s="460"/>
      <c r="K435" s="65">
        <f>K424</f>
        <v>836454.46267072798</v>
      </c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4.25" customHeight="1" x14ac:dyDescent="0.2">
      <c r="A436" s="2"/>
      <c r="B436" s="3"/>
      <c r="C436" s="3"/>
      <c r="D436" s="3"/>
      <c r="E436" s="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4.25" customHeight="1" x14ac:dyDescent="0.2">
      <c r="A437" s="2"/>
      <c r="B437" s="3"/>
      <c r="C437" s="3"/>
      <c r="D437" s="3"/>
      <c r="E437" s="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4.25" customHeight="1" x14ac:dyDescent="0.2">
      <c r="A438" s="434" t="s">
        <v>1023</v>
      </c>
      <c r="B438" s="435"/>
      <c r="C438" s="435"/>
      <c r="D438" s="435"/>
      <c r="E438" s="435"/>
      <c r="F438" s="435"/>
      <c r="G438" s="435"/>
      <c r="H438" s="435"/>
      <c r="I438" s="435"/>
      <c r="J438" s="435"/>
      <c r="K438" s="436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4.25" customHeight="1" x14ac:dyDescent="0.2">
      <c r="A439" s="472" t="s">
        <v>1009</v>
      </c>
      <c r="B439" s="473"/>
      <c r="C439" s="277" t="s">
        <v>1010</v>
      </c>
      <c r="D439" s="278" t="s">
        <v>1012</v>
      </c>
      <c r="E439" s="447" t="s">
        <v>1013</v>
      </c>
      <c r="F439" s="447"/>
      <c r="G439" s="447"/>
      <c r="H439" s="447"/>
      <c r="I439" s="447"/>
      <c r="J439" s="447"/>
      <c r="K439" s="448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s="251" customFormat="1" ht="14.25" customHeight="1" x14ac:dyDescent="0.2">
      <c r="A440" s="470"/>
      <c r="B440" s="471"/>
      <c r="C440" s="277" t="s">
        <v>1011</v>
      </c>
      <c r="D440" s="276"/>
      <c r="E440" s="447" t="s">
        <v>1014</v>
      </c>
      <c r="F440" s="447"/>
      <c r="G440" s="447"/>
      <c r="H440" s="447"/>
      <c r="I440" s="447"/>
      <c r="J440" s="447"/>
      <c r="K440" s="448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s="251" customFormat="1" ht="14.25" customHeight="1" x14ac:dyDescent="0.2">
      <c r="A441" s="470"/>
      <c r="B441" s="471"/>
      <c r="C441" s="277" t="s">
        <v>1018</v>
      </c>
      <c r="D441" s="276"/>
      <c r="E441" s="447" t="s">
        <v>1015</v>
      </c>
      <c r="F441" s="447"/>
      <c r="G441" s="447"/>
      <c r="H441" s="447"/>
      <c r="I441" s="447"/>
      <c r="J441" s="447"/>
      <c r="K441" s="448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s="251" customFormat="1" ht="14.25" customHeight="1" x14ac:dyDescent="0.2">
      <c r="A442" s="470"/>
      <c r="B442" s="471"/>
      <c r="C442" s="277" t="s">
        <v>1016</v>
      </c>
      <c r="D442" s="276"/>
      <c r="E442" s="468" t="s">
        <v>1240</v>
      </c>
      <c r="F442" s="468"/>
      <c r="G442" s="468"/>
      <c r="H442" s="468"/>
      <c r="I442" s="468"/>
      <c r="J442" s="468"/>
      <c r="K442" s="469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s="251" customFormat="1" ht="14.25" customHeight="1" x14ac:dyDescent="0.2">
      <c r="A443" s="472" t="s">
        <v>1009</v>
      </c>
      <c r="B443" s="473"/>
      <c r="C443" s="277" t="s">
        <v>1017</v>
      </c>
      <c r="D443" s="278"/>
      <c r="E443" s="447" t="s">
        <v>1022</v>
      </c>
      <c r="F443" s="447"/>
      <c r="G443" s="447"/>
      <c r="H443" s="447"/>
      <c r="I443" s="447"/>
      <c r="J443" s="447"/>
      <c r="K443" s="448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s="251" customFormat="1" ht="14.25" customHeight="1" x14ac:dyDescent="0.2">
      <c r="A444" s="470"/>
      <c r="B444" s="471"/>
      <c r="C444" s="277" t="s">
        <v>1011</v>
      </c>
      <c r="D444" s="276"/>
      <c r="E444" s="447"/>
      <c r="F444" s="447"/>
      <c r="G444" s="447"/>
      <c r="H444" s="447"/>
      <c r="I444" s="447"/>
      <c r="J444" s="447"/>
      <c r="K444" s="448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s="251" customFormat="1" ht="14.25" customHeight="1" x14ac:dyDescent="0.2">
      <c r="A445" s="470"/>
      <c r="B445" s="471"/>
      <c r="C445" s="277" t="s">
        <v>1019</v>
      </c>
      <c r="D445" s="276"/>
      <c r="E445" s="447"/>
      <c r="F445" s="447"/>
      <c r="G445" s="447"/>
      <c r="H445" s="447"/>
      <c r="I445" s="447"/>
      <c r="J445" s="447"/>
      <c r="K445" s="448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s="251" customFormat="1" ht="14.25" customHeight="1" x14ac:dyDescent="0.2">
      <c r="A446" s="470"/>
      <c r="B446" s="471"/>
      <c r="C446" s="277" t="s">
        <v>1020</v>
      </c>
      <c r="D446" s="276"/>
      <c r="E446" s="447"/>
      <c r="F446" s="447"/>
      <c r="G446" s="447"/>
      <c r="H446" s="447"/>
      <c r="I446" s="447"/>
      <c r="J446" s="447"/>
      <c r="K446" s="448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s="251" customFormat="1" ht="14.25" customHeight="1" x14ac:dyDescent="0.2">
      <c r="A447" s="449"/>
      <c r="B447" s="450"/>
      <c r="C447" s="279" t="s">
        <v>1021</v>
      </c>
      <c r="D447" s="280"/>
      <c r="E447" s="451"/>
      <c r="F447" s="451"/>
      <c r="G447" s="451"/>
      <c r="H447" s="451"/>
      <c r="I447" s="451"/>
      <c r="J447" s="451"/>
      <c r="K447" s="45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4.25" customHeight="1" x14ac:dyDescent="0.2">
      <c r="A448" s="2"/>
      <c r="B448" s="3"/>
      <c r="C448" s="3"/>
      <c r="D448" s="3"/>
      <c r="E448" s="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4.25" customHeight="1" x14ac:dyDescent="0.2">
      <c r="A449" s="2"/>
      <c r="B449" s="3"/>
      <c r="C449" s="3"/>
      <c r="D449" s="3"/>
      <c r="E449" s="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4.25" customHeight="1" x14ac:dyDescent="0.2">
      <c r="A450" s="2"/>
      <c r="B450" s="3"/>
      <c r="C450" s="3"/>
      <c r="D450" s="3"/>
      <c r="E450" s="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4.25" customHeight="1" x14ac:dyDescent="0.2">
      <c r="A451" s="2"/>
      <c r="B451" s="3"/>
      <c r="C451" s="3"/>
      <c r="D451" s="3"/>
      <c r="E451" s="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4.25" customHeight="1" x14ac:dyDescent="0.2">
      <c r="A452" s="2"/>
      <c r="B452" s="3"/>
      <c r="C452" s="3"/>
      <c r="D452" s="3"/>
      <c r="E452" s="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4.25" customHeight="1" x14ac:dyDescent="0.2">
      <c r="A453" s="2"/>
      <c r="B453" s="3"/>
      <c r="C453" s="3"/>
      <c r="D453" s="3"/>
      <c r="E453" s="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4.25" customHeight="1" x14ac:dyDescent="0.2">
      <c r="A454" s="2"/>
      <c r="B454" s="3"/>
      <c r="C454" s="3"/>
      <c r="D454" s="3"/>
      <c r="E454" s="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4.25" customHeight="1" x14ac:dyDescent="0.2">
      <c r="A455" s="2"/>
      <c r="B455" s="3"/>
      <c r="C455" s="3"/>
      <c r="D455" s="3"/>
      <c r="E455" s="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4.25" customHeight="1" x14ac:dyDescent="0.2">
      <c r="A456" s="2"/>
      <c r="B456" s="3"/>
      <c r="C456" s="3"/>
      <c r="D456" s="3"/>
      <c r="E456" s="4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4.25" customHeight="1" x14ac:dyDescent="0.2">
      <c r="A457" s="2"/>
      <c r="B457" s="3"/>
      <c r="C457" s="3"/>
      <c r="D457" s="3"/>
      <c r="E457" s="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4.25" customHeight="1" x14ac:dyDescent="0.2">
      <c r="A458" s="2"/>
      <c r="B458" s="3"/>
      <c r="C458" s="3"/>
      <c r="D458" s="3"/>
      <c r="E458" s="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4.25" customHeight="1" x14ac:dyDescent="0.2">
      <c r="A459" s="2"/>
      <c r="B459" s="3"/>
      <c r="C459" s="3"/>
      <c r="D459" s="3"/>
      <c r="E459" s="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4.25" customHeight="1" x14ac:dyDescent="0.2">
      <c r="A460" s="2"/>
      <c r="B460" s="3"/>
      <c r="C460" s="3"/>
      <c r="D460" s="3"/>
      <c r="E460" s="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4.25" customHeight="1" x14ac:dyDescent="0.2">
      <c r="A461" s="2"/>
      <c r="B461" s="3"/>
      <c r="C461" s="3"/>
      <c r="D461" s="3"/>
      <c r="E461" s="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4.25" customHeight="1" x14ac:dyDescent="0.2">
      <c r="A462" s="2"/>
      <c r="B462" s="3"/>
      <c r="C462" s="3"/>
      <c r="D462" s="3"/>
      <c r="E462" s="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4.25" customHeight="1" x14ac:dyDescent="0.2">
      <c r="A463" s="2"/>
      <c r="B463" s="3"/>
      <c r="C463" s="3"/>
      <c r="D463" s="3"/>
      <c r="E463" s="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4.25" customHeight="1" x14ac:dyDescent="0.2">
      <c r="A464" s="2"/>
      <c r="B464" s="3"/>
      <c r="C464" s="3"/>
      <c r="D464" s="3"/>
      <c r="E464" s="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4.25" customHeight="1" x14ac:dyDescent="0.2">
      <c r="A465" s="2"/>
      <c r="B465" s="3"/>
      <c r="C465" s="3"/>
      <c r="D465" s="3"/>
      <c r="E465" s="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4.25" customHeight="1" x14ac:dyDescent="0.2">
      <c r="A466" s="2"/>
      <c r="B466" s="3"/>
      <c r="C466" s="3"/>
      <c r="D466" s="3"/>
      <c r="E466" s="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4.25" customHeight="1" x14ac:dyDescent="0.2">
      <c r="A467" s="2"/>
      <c r="B467" s="3"/>
      <c r="C467" s="3"/>
      <c r="D467" s="3"/>
      <c r="E467" s="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4.25" customHeight="1" x14ac:dyDescent="0.2">
      <c r="A468" s="2"/>
      <c r="B468" s="3"/>
      <c r="C468" s="3"/>
      <c r="D468" s="3"/>
      <c r="E468" s="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4.25" customHeight="1" x14ac:dyDescent="0.2">
      <c r="A469" s="2"/>
      <c r="B469" s="3"/>
      <c r="C469" s="3"/>
      <c r="D469" s="3"/>
      <c r="E469" s="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4.25" customHeight="1" x14ac:dyDescent="0.2">
      <c r="A470" s="2"/>
      <c r="B470" s="3"/>
      <c r="C470" s="3"/>
      <c r="D470" s="3"/>
      <c r="E470" s="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4.25" customHeight="1" x14ac:dyDescent="0.2">
      <c r="A471" s="2"/>
      <c r="B471" s="3"/>
      <c r="C471" s="3"/>
      <c r="D471" s="3"/>
      <c r="E471" s="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4.25" customHeight="1" x14ac:dyDescent="0.2">
      <c r="A472" s="2"/>
      <c r="B472" s="3"/>
      <c r="C472" s="3"/>
      <c r="D472" s="3"/>
      <c r="E472" s="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4.25" customHeight="1" x14ac:dyDescent="0.2">
      <c r="A473" s="2"/>
      <c r="B473" s="3"/>
      <c r="C473" s="3"/>
      <c r="D473" s="3"/>
      <c r="E473" s="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4.25" customHeight="1" x14ac:dyDescent="0.2">
      <c r="A474" s="2"/>
      <c r="B474" s="3"/>
      <c r="C474" s="3"/>
      <c r="D474" s="3"/>
      <c r="E474" s="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4.25" customHeight="1" x14ac:dyDescent="0.2">
      <c r="A475" s="2"/>
      <c r="B475" s="3"/>
      <c r="C475" s="3"/>
      <c r="D475" s="3"/>
      <c r="E475" s="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4.25" customHeight="1" x14ac:dyDescent="0.2">
      <c r="A476" s="2"/>
      <c r="B476" s="3"/>
      <c r="C476" s="3"/>
      <c r="D476" s="3"/>
      <c r="E476" s="4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4.25" customHeight="1" x14ac:dyDescent="0.2">
      <c r="A477" s="2"/>
      <c r="B477" s="3"/>
      <c r="C477" s="3"/>
      <c r="D477" s="3"/>
      <c r="E477" s="4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4.25" customHeight="1" x14ac:dyDescent="0.2">
      <c r="A478" s="2"/>
      <c r="B478" s="3"/>
      <c r="C478" s="3"/>
      <c r="D478" s="3"/>
      <c r="E478" s="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4.25" customHeight="1" x14ac:dyDescent="0.2">
      <c r="A479" s="2"/>
      <c r="B479" s="3"/>
      <c r="C479" s="3"/>
      <c r="D479" s="3"/>
      <c r="E479" s="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4.25" customHeight="1" x14ac:dyDescent="0.2">
      <c r="A480" s="2"/>
      <c r="B480" s="3"/>
      <c r="C480" s="3"/>
      <c r="D480" s="3"/>
      <c r="E480" s="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4.25" customHeight="1" x14ac:dyDescent="0.2">
      <c r="A481" s="2"/>
      <c r="B481" s="3"/>
      <c r="C481" s="3"/>
      <c r="D481" s="3"/>
      <c r="E481" s="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4.25" customHeight="1" x14ac:dyDescent="0.2">
      <c r="A482" s="2"/>
      <c r="B482" s="3"/>
      <c r="C482" s="3"/>
      <c r="D482" s="3"/>
      <c r="E482" s="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4.25" customHeight="1" x14ac:dyDescent="0.2">
      <c r="A483" s="2"/>
      <c r="B483" s="3"/>
      <c r="C483" s="3"/>
      <c r="D483" s="3"/>
      <c r="E483" s="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4.25" customHeight="1" x14ac:dyDescent="0.2">
      <c r="A484" s="2"/>
      <c r="B484" s="3"/>
      <c r="C484" s="3"/>
      <c r="D484" s="3"/>
      <c r="E484" s="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4.25" customHeight="1" x14ac:dyDescent="0.2">
      <c r="A485" s="2"/>
      <c r="B485" s="3"/>
      <c r="C485" s="3"/>
      <c r="D485" s="3"/>
      <c r="E485" s="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4.25" customHeight="1" x14ac:dyDescent="0.2">
      <c r="A486" s="2"/>
      <c r="B486" s="3"/>
      <c r="C486" s="3"/>
      <c r="D486" s="3"/>
      <c r="E486" s="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4.25" customHeight="1" x14ac:dyDescent="0.2">
      <c r="A487" s="2"/>
      <c r="B487" s="3"/>
      <c r="C487" s="3"/>
      <c r="D487" s="3"/>
      <c r="E487" s="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4.25" customHeight="1" x14ac:dyDescent="0.2">
      <c r="A488" s="2"/>
      <c r="B488" s="3"/>
      <c r="C488" s="3"/>
      <c r="D488" s="3"/>
      <c r="E488" s="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4.25" customHeight="1" x14ac:dyDescent="0.2">
      <c r="A489" s="2"/>
      <c r="B489" s="3"/>
      <c r="C489" s="3"/>
      <c r="D489" s="3"/>
      <c r="E489" s="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4.25" customHeight="1" x14ac:dyDescent="0.2">
      <c r="A490" s="2"/>
      <c r="B490" s="3"/>
      <c r="C490" s="3"/>
      <c r="D490" s="3"/>
      <c r="E490" s="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4.25" customHeight="1" x14ac:dyDescent="0.2">
      <c r="A491" s="2"/>
      <c r="B491" s="3"/>
      <c r="C491" s="3"/>
      <c r="D491" s="3"/>
      <c r="E491" s="4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4.25" customHeight="1" x14ac:dyDescent="0.2">
      <c r="A492" s="2"/>
      <c r="B492" s="3"/>
      <c r="C492" s="3"/>
      <c r="D492" s="3"/>
      <c r="E492" s="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4.25" customHeight="1" x14ac:dyDescent="0.2">
      <c r="A493" s="2"/>
      <c r="B493" s="3"/>
      <c r="C493" s="3"/>
      <c r="D493" s="3"/>
      <c r="E493" s="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4.25" customHeight="1" x14ac:dyDescent="0.2">
      <c r="A494" s="2"/>
      <c r="B494" s="3"/>
      <c r="C494" s="3"/>
      <c r="D494" s="3"/>
      <c r="E494" s="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4.25" customHeight="1" x14ac:dyDescent="0.2">
      <c r="A495" s="2"/>
      <c r="B495" s="3"/>
      <c r="C495" s="3"/>
      <c r="D495" s="3"/>
      <c r="E495" s="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4.25" customHeight="1" x14ac:dyDescent="0.2">
      <c r="A496" s="2"/>
      <c r="B496" s="3"/>
      <c r="C496" s="3"/>
      <c r="D496" s="3"/>
      <c r="E496" s="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4.25" customHeight="1" x14ac:dyDescent="0.2">
      <c r="A497" s="2"/>
      <c r="B497" s="3"/>
      <c r="C497" s="3"/>
      <c r="D497" s="3"/>
      <c r="E497" s="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4.25" customHeight="1" x14ac:dyDescent="0.2">
      <c r="A498" s="2"/>
      <c r="B498" s="3"/>
      <c r="C498" s="3"/>
      <c r="D498" s="3"/>
      <c r="E498" s="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4.25" customHeight="1" x14ac:dyDescent="0.2">
      <c r="A499" s="2"/>
      <c r="B499" s="3"/>
      <c r="C499" s="3"/>
      <c r="D499" s="3"/>
      <c r="E499" s="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4.25" customHeight="1" x14ac:dyDescent="0.2">
      <c r="A500" s="2"/>
      <c r="B500" s="3"/>
      <c r="C500" s="3"/>
      <c r="D500" s="3"/>
      <c r="E500" s="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4.25" customHeight="1" x14ac:dyDescent="0.2">
      <c r="A501" s="2"/>
      <c r="B501" s="3"/>
      <c r="C501" s="3"/>
      <c r="D501" s="3"/>
      <c r="E501" s="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4.25" customHeight="1" x14ac:dyDescent="0.2">
      <c r="A502" s="2"/>
      <c r="B502" s="3"/>
      <c r="C502" s="3"/>
      <c r="D502" s="3"/>
      <c r="E502" s="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4.25" customHeight="1" x14ac:dyDescent="0.2">
      <c r="A503" s="2"/>
      <c r="B503" s="3"/>
      <c r="C503" s="3"/>
      <c r="D503" s="3"/>
      <c r="E503" s="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4.25" customHeight="1" x14ac:dyDescent="0.2">
      <c r="A504" s="2"/>
      <c r="B504" s="3"/>
      <c r="C504" s="3"/>
      <c r="D504" s="3"/>
      <c r="E504" s="4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4.25" customHeight="1" x14ac:dyDescent="0.2">
      <c r="A505" s="2"/>
      <c r="B505" s="3"/>
      <c r="C505" s="3"/>
      <c r="D505" s="3"/>
      <c r="E505" s="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4.25" customHeight="1" x14ac:dyDescent="0.2">
      <c r="A506" s="2"/>
      <c r="B506" s="3"/>
      <c r="C506" s="3"/>
      <c r="D506" s="3"/>
      <c r="E506" s="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4.25" customHeight="1" x14ac:dyDescent="0.2">
      <c r="A507" s="2"/>
      <c r="B507" s="3"/>
      <c r="C507" s="3"/>
      <c r="D507" s="3"/>
      <c r="E507" s="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4.25" customHeight="1" x14ac:dyDescent="0.2">
      <c r="A508" s="2"/>
      <c r="B508" s="3"/>
      <c r="C508" s="3"/>
      <c r="D508" s="3"/>
      <c r="E508" s="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4.25" customHeight="1" x14ac:dyDescent="0.2">
      <c r="A509" s="2"/>
      <c r="B509" s="3"/>
      <c r="C509" s="3"/>
      <c r="D509" s="3"/>
      <c r="E509" s="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4.25" customHeight="1" x14ac:dyDescent="0.2">
      <c r="A510" s="2"/>
      <c r="B510" s="3"/>
      <c r="C510" s="3"/>
      <c r="D510" s="3"/>
      <c r="E510" s="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4.25" customHeight="1" x14ac:dyDescent="0.2">
      <c r="A511" s="2"/>
      <c r="B511" s="3"/>
      <c r="C511" s="3"/>
      <c r="D511" s="3"/>
      <c r="E511" s="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4.25" customHeight="1" x14ac:dyDescent="0.2">
      <c r="A512" s="2"/>
      <c r="B512" s="3"/>
      <c r="C512" s="3"/>
      <c r="D512" s="3"/>
      <c r="E512" s="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4.25" customHeight="1" x14ac:dyDescent="0.2">
      <c r="A513" s="2"/>
      <c r="B513" s="3"/>
      <c r="C513" s="3"/>
      <c r="D513" s="3"/>
      <c r="E513" s="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4.25" customHeight="1" x14ac:dyDescent="0.2">
      <c r="A514" s="2"/>
      <c r="B514" s="3"/>
      <c r="C514" s="3"/>
      <c r="D514" s="3"/>
      <c r="E514" s="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4.25" customHeight="1" x14ac:dyDescent="0.2">
      <c r="A515" s="2"/>
      <c r="B515" s="3"/>
      <c r="C515" s="3"/>
      <c r="D515" s="3"/>
      <c r="E515" s="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4.25" customHeight="1" x14ac:dyDescent="0.2">
      <c r="A516" s="2"/>
      <c r="B516" s="3"/>
      <c r="C516" s="3"/>
      <c r="D516" s="3"/>
      <c r="E516" s="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4.25" customHeight="1" x14ac:dyDescent="0.2">
      <c r="A517" s="2"/>
      <c r="B517" s="3"/>
      <c r="C517" s="3"/>
      <c r="D517" s="3"/>
      <c r="E517" s="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4.25" customHeight="1" x14ac:dyDescent="0.2">
      <c r="A518" s="2"/>
      <c r="B518" s="3"/>
      <c r="C518" s="3"/>
      <c r="D518" s="3"/>
      <c r="E518" s="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4.25" customHeight="1" x14ac:dyDescent="0.2">
      <c r="A519" s="2"/>
      <c r="B519" s="3"/>
      <c r="C519" s="3"/>
      <c r="D519" s="3"/>
      <c r="E519" s="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4.25" customHeight="1" x14ac:dyDescent="0.2">
      <c r="A520" s="2"/>
      <c r="B520" s="3"/>
      <c r="C520" s="3"/>
      <c r="D520" s="3"/>
      <c r="E520" s="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4.25" customHeight="1" x14ac:dyDescent="0.2">
      <c r="A521" s="2"/>
      <c r="B521" s="3"/>
      <c r="C521" s="3"/>
      <c r="D521" s="3"/>
      <c r="E521" s="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4.25" customHeight="1" x14ac:dyDescent="0.2">
      <c r="A522" s="2"/>
      <c r="B522" s="3"/>
      <c r="C522" s="3"/>
      <c r="D522" s="3"/>
      <c r="E522" s="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4.25" customHeight="1" x14ac:dyDescent="0.2">
      <c r="A523" s="2"/>
      <c r="B523" s="3"/>
      <c r="C523" s="3"/>
      <c r="D523" s="3"/>
      <c r="E523" s="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4.25" customHeight="1" x14ac:dyDescent="0.2">
      <c r="A524" s="2"/>
      <c r="B524" s="3"/>
      <c r="C524" s="3"/>
      <c r="D524" s="3"/>
      <c r="E524" s="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4.25" customHeight="1" x14ac:dyDescent="0.2">
      <c r="A525" s="2"/>
      <c r="B525" s="3"/>
      <c r="C525" s="3"/>
      <c r="D525" s="3"/>
      <c r="E525" s="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4.25" customHeight="1" x14ac:dyDescent="0.2">
      <c r="A526" s="2"/>
      <c r="B526" s="3"/>
      <c r="C526" s="3"/>
      <c r="D526" s="3"/>
      <c r="E526" s="4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4.25" customHeight="1" x14ac:dyDescent="0.2">
      <c r="A527" s="2"/>
      <c r="B527" s="3"/>
      <c r="C527" s="3"/>
      <c r="D527" s="3"/>
      <c r="E527" s="4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4.25" customHeight="1" x14ac:dyDescent="0.2">
      <c r="A528" s="2"/>
      <c r="B528" s="3"/>
      <c r="C528" s="3"/>
      <c r="D528" s="3"/>
      <c r="E528" s="4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4.25" customHeight="1" x14ac:dyDescent="0.2">
      <c r="A529" s="2"/>
      <c r="B529" s="3"/>
      <c r="C529" s="3"/>
      <c r="D529" s="3"/>
      <c r="E529" s="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4.25" customHeight="1" x14ac:dyDescent="0.2">
      <c r="A530" s="2"/>
      <c r="B530" s="3"/>
      <c r="C530" s="3"/>
      <c r="D530" s="3"/>
      <c r="E530" s="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4.25" customHeight="1" x14ac:dyDescent="0.2">
      <c r="A531" s="2"/>
      <c r="B531" s="3"/>
      <c r="C531" s="3"/>
      <c r="D531" s="3"/>
      <c r="E531" s="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4.25" customHeight="1" x14ac:dyDescent="0.2">
      <c r="A532" s="2"/>
      <c r="B532" s="3"/>
      <c r="C532" s="3"/>
      <c r="D532" s="3"/>
      <c r="E532" s="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4.25" customHeight="1" x14ac:dyDescent="0.2">
      <c r="A533" s="2"/>
      <c r="B533" s="3"/>
      <c r="C533" s="3"/>
      <c r="D533" s="3"/>
      <c r="E533" s="4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4.25" customHeight="1" x14ac:dyDescent="0.2">
      <c r="A534" s="2"/>
      <c r="B534" s="3"/>
      <c r="C534" s="3"/>
      <c r="D534" s="3"/>
      <c r="E534" s="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4.25" customHeight="1" x14ac:dyDescent="0.2">
      <c r="A535" s="2"/>
      <c r="B535" s="3"/>
      <c r="C535" s="3"/>
      <c r="D535" s="3"/>
      <c r="E535" s="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4.25" customHeight="1" x14ac:dyDescent="0.2">
      <c r="A536" s="2"/>
      <c r="B536" s="3"/>
      <c r="C536" s="3"/>
      <c r="D536" s="3"/>
      <c r="E536" s="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4.25" customHeight="1" x14ac:dyDescent="0.2">
      <c r="A537" s="2"/>
      <c r="B537" s="3"/>
      <c r="C537" s="3"/>
      <c r="D537" s="3"/>
      <c r="E537" s="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4.25" customHeight="1" x14ac:dyDescent="0.2">
      <c r="A538" s="2"/>
      <c r="B538" s="3"/>
      <c r="C538" s="3"/>
      <c r="D538" s="3"/>
      <c r="E538" s="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4.25" customHeight="1" x14ac:dyDescent="0.2">
      <c r="A539" s="2"/>
      <c r="B539" s="3"/>
      <c r="C539" s="3"/>
      <c r="D539" s="3"/>
      <c r="E539" s="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4.25" customHeight="1" x14ac:dyDescent="0.2">
      <c r="A540" s="2"/>
      <c r="B540" s="3"/>
      <c r="C540" s="3"/>
      <c r="D540" s="3"/>
      <c r="E540" s="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4.25" customHeight="1" x14ac:dyDescent="0.2">
      <c r="A541" s="2"/>
      <c r="B541" s="3"/>
      <c r="C541" s="3"/>
      <c r="D541" s="3"/>
      <c r="E541" s="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4.25" customHeight="1" x14ac:dyDescent="0.2">
      <c r="A542" s="2"/>
      <c r="B542" s="3"/>
      <c r="C542" s="3"/>
      <c r="D542" s="3"/>
      <c r="E542" s="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4.25" customHeight="1" x14ac:dyDescent="0.2">
      <c r="A543" s="2"/>
      <c r="B543" s="3"/>
      <c r="C543" s="3"/>
      <c r="D543" s="3"/>
      <c r="E543" s="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4.25" customHeight="1" x14ac:dyDescent="0.2">
      <c r="A544" s="2"/>
      <c r="B544" s="3"/>
      <c r="C544" s="3"/>
      <c r="D544" s="3"/>
      <c r="E544" s="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4.25" customHeight="1" x14ac:dyDescent="0.2">
      <c r="A545" s="2"/>
      <c r="B545" s="3"/>
      <c r="C545" s="3"/>
      <c r="D545" s="3"/>
      <c r="E545" s="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4.25" customHeight="1" x14ac:dyDescent="0.2">
      <c r="A546" s="2"/>
      <c r="B546" s="3"/>
      <c r="C546" s="3"/>
      <c r="D546" s="3"/>
      <c r="E546" s="4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4.25" customHeight="1" x14ac:dyDescent="0.2">
      <c r="A547" s="2"/>
      <c r="B547" s="3"/>
      <c r="C547" s="3"/>
      <c r="D547" s="3"/>
      <c r="E547" s="4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4.25" customHeight="1" x14ac:dyDescent="0.2">
      <c r="A548" s="2"/>
      <c r="B548" s="3"/>
      <c r="C548" s="3"/>
      <c r="D548" s="3"/>
      <c r="E548" s="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4.25" customHeight="1" x14ac:dyDescent="0.2">
      <c r="A549" s="2"/>
      <c r="B549" s="3"/>
      <c r="C549" s="3"/>
      <c r="D549" s="3"/>
      <c r="E549" s="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4.25" customHeight="1" x14ac:dyDescent="0.2">
      <c r="A550" s="2"/>
      <c r="B550" s="3"/>
      <c r="C550" s="3"/>
      <c r="D550" s="3"/>
      <c r="E550" s="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4.25" customHeight="1" x14ac:dyDescent="0.2">
      <c r="A551" s="2"/>
      <c r="B551" s="3"/>
      <c r="C551" s="3"/>
      <c r="D551" s="3"/>
      <c r="E551" s="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4.25" customHeight="1" x14ac:dyDescent="0.2">
      <c r="A552" s="2"/>
      <c r="B552" s="3"/>
      <c r="C552" s="3"/>
      <c r="D552" s="3"/>
      <c r="E552" s="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4.25" customHeight="1" x14ac:dyDescent="0.2">
      <c r="A553" s="2"/>
      <c r="B553" s="3"/>
      <c r="C553" s="3"/>
      <c r="D553" s="3"/>
      <c r="E553" s="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4.25" customHeight="1" x14ac:dyDescent="0.2">
      <c r="A554" s="2"/>
      <c r="B554" s="3"/>
      <c r="C554" s="3"/>
      <c r="D554" s="3"/>
      <c r="E554" s="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4.25" customHeight="1" x14ac:dyDescent="0.2">
      <c r="A555" s="2"/>
      <c r="B555" s="3"/>
      <c r="C555" s="3"/>
      <c r="D555" s="3"/>
      <c r="E555" s="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4.25" customHeight="1" x14ac:dyDescent="0.2">
      <c r="A556" s="2"/>
      <c r="B556" s="3"/>
      <c r="C556" s="3"/>
      <c r="D556" s="3"/>
      <c r="E556" s="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4.25" customHeight="1" x14ac:dyDescent="0.2">
      <c r="A557" s="2"/>
      <c r="B557" s="3"/>
      <c r="C557" s="3"/>
      <c r="D557" s="3"/>
      <c r="E557" s="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4.25" customHeight="1" x14ac:dyDescent="0.2">
      <c r="A558" s="2"/>
      <c r="B558" s="3"/>
      <c r="C558" s="3"/>
      <c r="D558" s="3"/>
      <c r="E558" s="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4.25" customHeight="1" x14ac:dyDescent="0.2">
      <c r="A559" s="2"/>
      <c r="B559" s="3"/>
      <c r="C559" s="3"/>
      <c r="D559" s="3"/>
      <c r="E559" s="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4.25" customHeight="1" x14ac:dyDescent="0.2">
      <c r="A560" s="2"/>
      <c r="B560" s="3"/>
      <c r="C560" s="3"/>
      <c r="D560" s="3"/>
      <c r="E560" s="4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4.25" customHeight="1" x14ac:dyDescent="0.2">
      <c r="A561" s="2"/>
      <c r="B561" s="3"/>
      <c r="C561" s="3"/>
      <c r="D561" s="3"/>
      <c r="E561" s="4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4.25" customHeight="1" x14ac:dyDescent="0.2">
      <c r="A562" s="2"/>
      <c r="B562" s="3"/>
      <c r="C562" s="3"/>
      <c r="D562" s="3"/>
      <c r="E562" s="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4.25" customHeight="1" x14ac:dyDescent="0.2">
      <c r="A563" s="2"/>
      <c r="B563" s="3"/>
      <c r="C563" s="3"/>
      <c r="D563" s="3"/>
      <c r="E563" s="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4.25" customHeight="1" x14ac:dyDescent="0.2">
      <c r="A564" s="2"/>
      <c r="B564" s="3"/>
      <c r="C564" s="3"/>
      <c r="D564" s="3"/>
      <c r="E564" s="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4.25" customHeight="1" x14ac:dyDescent="0.2">
      <c r="A565" s="2"/>
      <c r="B565" s="3"/>
      <c r="C565" s="3"/>
      <c r="D565" s="3"/>
      <c r="E565" s="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4.25" customHeight="1" x14ac:dyDescent="0.2">
      <c r="A566" s="2"/>
      <c r="B566" s="3"/>
      <c r="C566" s="3"/>
      <c r="D566" s="3"/>
      <c r="E566" s="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4.25" customHeight="1" x14ac:dyDescent="0.2">
      <c r="A567" s="2"/>
      <c r="B567" s="3"/>
      <c r="C567" s="3"/>
      <c r="D567" s="3"/>
      <c r="E567" s="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4.25" customHeight="1" x14ac:dyDescent="0.2">
      <c r="A568" s="2"/>
      <c r="B568" s="3"/>
      <c r="C568" s="3"/>
      <c r="D568" s="3"/>
      <c r="E568" s="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4.25" customHeight="1" x14ac:dyDescent="0.2">
      <c r="A569" s="2"/>
      <c r="B569" s="3"/>
      <c r="C569" s="3"/>
      <c r="D569" s="3"/>
      <c r="E569" s="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4.25" customHeight="1" x14ac:dyDescent="0.2">
      <c r="A570" s="2"/>
      <c r="B570" s="3"/>
      <c r="C570" s="3"/>
      <c r="D570" s="3"/>
      <c r="E570" s="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4.25" customHeight="1" x14ac:dyDescent="0.2">
      <c r="A571" s="2"/>
      <c r="B571" s="3"/>
      <c r="C571" s="3"/>
      <c r="D571" s="3"/>
      <c r="E571" s="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4.25" customHeight="1" x14ac:dyDescent="0.2">
      <c r="A572" s="2"/>
      <c r="B572" s="3"/>
      <c r="C572" s="3"/>
      <c r="D572" s="3"/>
      <c r="E572" s="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4.25" customHeight="1" x14ac:dyDescent="0.2">
      <c r="A573" s="2"/>
      <c r="B573" s="3"/>
      <c r="C573" s="3"/>
      <c r="D573" s="3"/>
      <c r="E573" s="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4.25" customHeight="1" x14ac:dyDescent="0.2">
      <c r="A574" s="2"/>
      <c r="B574" s="3"/>
      <c r="C574" s="3"/>
      <c r="D574" s="3"/>
      <c r="E574" s="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4.25" customHeight="1" x14ac:dyDescent="0.2">
      <c r="A575" s="2"/>
      <c r="B575" s="3"/>
      <c r="C575" s="3"/>
      <c r="D575" s="3"/>
      <c r="E575" s="4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4.25" customHeight="1" x14ac:dyDescent="0.2">
      <c r="A576" s="2"/>
      <c r="B576" s="3"/>
      <c r="C576" s="3"/>
      <c r="D576" s="3"/>
      <c r="E576" s="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4.25" customHeight="1" x14ac:dyDescent="0.2">
      <c r="A577" s="2"/>
      <c r="B577" s="3"/>
      <c r="C577" s="3"/>
      <c r="D577" s="3"/>
      <c r="E577" s="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4.25" customHeight="1" x14ac:dyDescent="0.2">
      <c r="A578" s="2"/>
      <c r="B578" s="3"/>
      <c r="C578" s="3"/>
      <c r="D578" s="3"/>
      <c r="E578" s="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4.25" customHeight="1" x14ac:dyDescent="0.2">
      <c r="A579" s="2"/>
      <c r="B579" s="3"/>
      <c r="C579" s="3"/>
      <c r="D579" s="3"/>
      <c r="E579" s="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4.25" customHeight="1" x14ac:dyDescent="0.2">
      <c r="A580" s="2"/>
      <c r="B580" s="3"/>
      <c r="C580" s="3"/>
      <c r="D580" s="3"/>
      <c r="E580" s="4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4.25" customHeight="1" x14ac:dyDescent="0.2">
      <c r="A581" s="2"/>
      <c r="B581" s="3"/>
      <c r="C581" s="3"/>
      <c r="D581" s="3"/>
      <c r="E581" s="4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4.25" customHeight="1" x14ac:dyDescent="0.2">
      <c r="A582" s="2"/>
      <c r="B582" s="3"/>
      <c r="C582" s="3"/>
      <c r="D582" s="3"/>
      <c r="E582" s="4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4.25" customHeight="1" x14ac:dyDescent="0.2">
      <c r="A583" s="2"/>
      <c r="B583" s="3"/>
      <c r="C583" s="3"/>
      <c r="D583" s="3"/>
      <c r="E583" s="4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4.25" customHeight="1" x14ac:dyDescent="0.2">
      <c r="A584" s="2"/>
      <c r="B584" s="3"/>
      <c r="C584" s="3"/>
      <c r="D584" s="3"/>
      <c r="E584" s="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4.25" customHeight="1" x14ac:dyDescent="0.2">
      <c r="A585" s="2"/>
      <c r="B585" s="3"/>
      <c r="C585" s="3"/>
      <c r="D585" s="3"/>
      <c r="E585" s="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4.25" customHeight="1" x14ac:dyDescent="0.2">
      <c r="A586" s="2"/>
      <c r="B586" s="3"/>
      <c r="C586" s="3"/>
      <c r="D586" s="3"/>
      <c r="E586" s="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4.25" customHeight="1" x14ac:dyDescent="0.2">
      <c r="A587" s="2"/>
      <c r="B587" s="3"/>
      <c r="C587" s="3"/>
      <c r="D587" s="3"/>
      <c r="E587" s="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4.25" customHeight="1" x14ac:dyDescent="0.2">
      <c r="A588" s="2"/>
      <c r="B588" s="3"/>
      <c r="C588" s="3"/>
      <c r="D588" s="3"/>
      <c r="E588" s="4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4.25" customHeight="1" x14ac:dyDescent="0.2">
      <c r="A589" s="2"/>
      <c r="B589" s="3"/>
      <c r="C589" s="3"/>
      <c r="D589" s="3"/>
      <c r="E589" s="4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4.25" customHeight="1" x14ac:dyDescent="0.2">
      <c r="A590" s="2"/>
      <c r="B590" s="3"/>
      <c r="C590" s="3"/>
      <c r="D590" s="3"/>
      <c r="E590" s="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4.25" customHeight="1" x14ac:dyDescent="0.2">
      <c r="A591" s="2"/>
      <c r="B591" s="3"/>
      <c r="C591" s="3"/>
      <c r="D591" s="3"/>
      <c r="E591" s="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4.25" customHeight="1" x14ac:dyDescent="0.2">
      <c r="A592" s="2"/>
      <c r="B592" s="3"/>
      <c r="C592" s="3"/>
      <c r="D592" s="3"/>
      <c r="E592" s="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4.25" customHeight="1" x14ac:dyDescent="0.2">
      <c r="A593" s="2"/>
      <c r="B593" s="3"/>
      <c r="C593" s="3"/>
      <c r="D593" s="3"/>
      <c r="E593" s="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4.25" customHeight="1" x14ac:dyDescent="0.2">
      <c r="A594" s="2"/>
      <c r="B594" s="3"/>
      <c r="C594" s="3"/>
      <c r="D594" s="3"/>
      <c r="E594" s="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4.25" customHeight="1" x14ac:dyDescent="0.2">
      <c r="A595" s="2"/>
      <c r="B595" s="3"/>
      <c r="C595" s="3"/>
      <c r="D595" s="3"/>
      <c r="E595" s="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4.25" customHeight="1" x14ac:dyDescent="0.2">
      <c r="A596" s="2"/>
      <c r="B596" s="3"/>
      <c r="C596" s="3"/>
      <c r="D596" s="3"/>
      <c r="E596" s="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4.25" customHeight="1" x14ac:dyDescent="0.2">
      <c r="A597" s="2"/>
      <c r="B597" s="3"/>
      <c r="C597" s="3"/>
      <c r="D597" s="3"/>
      <c r="E597" s="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4.25" customHeight="1" x14ac:dyDescent="0.2">
      <c r="A598" s="2"/>
      <c r="B598" s="3"/>
      <c r="C598" s="3"/>
      <c r="D598" s="3"/>
      <c r="E598" s="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4.25" customHeight="1" x14ac:dyDescent="0.2">
      <c r="A599" s="2"/>
      <c r="B599" s="3"/>
      <c r="C599" s="3"/>
      <c r="D599" s="3"/>
      <c r="E599" s="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4.25" customHeight="1" x14ac:dyDescent="0.2">
      <c r="A600" s="2"/>
      <c r="B600" s="3"/>
      <c r="C600" s="3"/>
      <c r="D600" s="3"/>
      <c r="E600" s="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4.25" customHeight="1" x14ac:dyDescent="0.2">
      <c r="A601" s="2"/>
      <c r="B601" s="3"/>
      <c r="C601" s="3"/>
      <c r="D601" s="3"/>
      <c r="E601" s="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4.25" customHeight="1" x14ac:dyDescent="0.2">
      <c r="A602" s="2"/>
      <c r="B602" s="3"/>
      <c r="C602" s="3"/>
      <c r="D602" s="3"/>
      <c r="E602" s="4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4.25" customHeight="1" x14ac:dyDescent="0.2">
      <c r="A603" s="2"/>
      <c r="B603" s="3"/>
      <c r="C603" s="3"/>
      <c r="D603" s="3"/>
      <c r="E603" s="4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4.25" customHeight="1" x14ac:dyDescent="0.2">
      <c r="A604" s="2"/>
      <c r="B604" s="3"/>
      <c r="C604" s="3"/>
      <c r="D604" s="3"/>
      <c r="E604" s="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4.25" customHeight="1" x14ac:dyDescent="0.2">
      <c r="A605" s="2"/>
      <c r="B605" s="3"/>
      <c r="C605" s="3"/>
      <c r="D605" s="3"/>
      <c r="E605" s="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4.25" customHeight="1" x14ac:dyDescent="0.2">
      <c r="A606" s="2"/>
      <c r="B606" s="3"/>
      <c r="C606" s="3"/>
      <c r="D606" s="3"/>
      <c r="E606" s="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4.25" customHeight="1" x14ac:dyDescent="0.2">
      <c r="A607" s="2"/>
      <c r="B607" s="3"/>
      <c r="C607" s="3"/>
      <c r="D607" s="3"/>
      <c r="E607" s="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4.25" customHeight="1" x14ac:dyDescent="0.2">
      <c r="A608" s="2"/>
      <c r="B608" s="3"/>
      <c r="C608" s="3"/>
      <c r="D608" s="3"/>
      <c r="E608" s="4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4.25" customHeight="1" x14ac:dyDescent="0.2">
      <c r="A609" s="2"/>
      <c r="B609" s="3"/>
      <c r="C609" s="3"/>
      <c r="D609" s="3"/>
      <c r="E609" s="4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4.25" customHeight="1" x14ac:dyDescent="0.2">
      <c r="A610" s="2"/>
      <c r="B610" s="3"/>
      <c r="C610" s="3"/>
      <c r="D610" s="3"/>
      <c r="E610" s="4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4.25" customHeight="1" x14ac:dyDescent="0.2">
      <c r="A611" s="2"/>
      <c r="B611" s="3"/>
      <c r="C611" s="3"/>
      <c r="D611" s="3"/>
      <c r="E611" s="4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4.25" customHeight="1" x14ac:dyDescent="0.2">
      <c r="A612" s="2"/>
      <c r="B612" s="3"/>
      <c r="C612" s="3"/>
      <c r="D612" s="3"/>
      <c r="E612" s="4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4.25" customHeight="1" x14ac:dyDescent="0.2">
      <c r="A613" s="2"/>
      <c r="B613" s="3"/>
      <c r="C613" s="3"/>
      <c r="D613" s="3"/>
      <c r="E613" s="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4.25" customHeight="1" x14ac:dyDescent="0.2">
      <c r="A614" s="2"/>
      <c r="B614" s="3"/>
      <c r="C614" s="3"/>
      <c r="D614" s="3"/>
      <c r="E614" s="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4.25" customHeight="1" x14ac:dyDescent="0.2">
      <c r="A615" s="2"/>
      <c r="B615" s="3"/>
      <c r="C615" s="3"/>
      <c r="D615" s="3"/>
      <c r="E615" s="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4.25" customHeight="1" x14ac:dyDescent="0.2">
      <c r="A616" s="2"/>
      <c r="B616" s="3"/>
      <c r="C616" s="3"/>
      <c r="D616" s="3"/>
      <c r="E616" s="4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4.25" customHeight="1" x14ac:dyDescent="0.2">
      <c r="A617" s="2"/>
      <c r="B617" s="3"/>
      <c r="C617" s="3"/>
      <c r="D617" s="3"/>
      <c r="E617" s="4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4.25" customHeight="1" x14ac:dyDescent="0.2">
      <c r="A618" s="2"/>
      <c r="B618" s="3"/>
      <c r="C618" s="3"/>
      <c r="D618" s="3"/>
      <c r="E618" s="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4.25" customHeight="1" x14ac:dyDescent="0.2">
      <c r="A619" s="2"/>
      <c r="B619" s="3"/>
      <c r="C619" s="3"/>
      <c r="D619" s="3"/>
      <c r="E619" s="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4.25" customHeight="1" x14ac:dyDescent="0.2">
      <c r="A620" s="2"/>
      <c r="B620" s="3"/>
      <c r="C620" s="3"/>
      <c r="D620" s="3"/>
      <c r="E620" s="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4.25" customHeight="1" x14ac:dyDescent="0.2">
      <c r="A621" s="2"/>
      <c r="B621" s="3"/>
      <c r="C621" s="3"/>
      <c r="D621" s="3"/>
      <c r="E621" s="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4.25" customHeight="1" x14ac:dyDescent="0.2">
      <c r="A622" s="2"/>
      <c r="B622" s="3"/>
      <c r="C622" s="3"/>
      <c r="D622" s="3"/>
      <c r="E622" s="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4.25" customHeight="1" x14ac:dyDescent="0.2">
      <c r="A623" s="2"/>
      <c r="B623" s="3"/>
      <c r="C623" s="3"/>
      <c r="D623" s="3"/>
      <c r="E623" s="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4.25" customHeight="1" x14ac:dyDescent="0.2">
      <c r="A624" s="2"/>
      <c r="B624" s="3"/>
      <c r="C624" s="3"/>
      <c r="D624" s="3"/>
      <c r="E624" s="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4.25" customHeight="1" x14ac:dyDescent="0.2">
      <c r="A625" s="2"/>
      <c r="B625" s="3"/>
      <c r="C625" s="3"/>
      <c r="D625" s="3"/>
      <c r="E625" s="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4.25" customHeight="1" x14ac:dyDescent="0.2">
      <c r="A626" s="2"/>
      <c r="B626" s="3"/>
      <c r="C626" s="3"/>
      <c r="D626" s="3"/>
      <c r="E626" s="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4.25" customHeight="1" x14ac:dyDescent="0.2">
      <c r="A627" s="2"/>
      <c r="B627" s="3"/>
      <c r="C627" s="3"/>
      <c r="D627" s="3"/>
      <c r="E627" s="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4.25" customHeight="1" x14ac:dyDescent="0.2">
      <c r="A628" s="2"/>
      <c r="B628" s="3"/>
      <c r="C628" s="3"/>
      <c r="D628" s="3"/>
      <c r="E628" s="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4.25" customHeight="1" x14ac:dyDescent="0.2">
      <c r="A629" s="2"/>
      <c r="B629" s="3"/>
      <c r="C629" s="3"/>
      <c r="D629" s="3"/>
      <c r="E629" s="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4.25" customHeight="1" x14ac:dyDescent="0.2">
      <c r="A630" s="2"/>
      <c r="B630" s="3"/>
      <c r="C630" s="3"/>
      <c r="D630" s="3"/>
      <c r="E630" s="4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4.25" customHeight="1" x14ac:dyDescent="0.2">
      <c r="A631" s="2"/>
      <c r="B631" s="3"/>
      <c r="C631" s="3"/>
      <c r="D631" s="3"/>
      <c r="E631" s="4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4.25" customHeight="1" x14ac:dyDescent="0.2">
      <c r="A632" s="2"/>
      <c r="B632" s="3"/>
      <c r="C632" s="3"/>
      <c r="D632" s="3"/>
      <c r="E632" s="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4.25" customHeight="1" x14ac:dyDescent="0.2">
      <c r="A633" s="2"/>
      <c r="B633" s="3"/>
      <c r="C633" s="3"/>
      <c r="D633" s="3"/>
      <c r="E633" s="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4.25" customHeight="1" x14ac:dyDescent="0.2">
      <c r="A634" s="2"/>
      <c r="B634" s="3"/>
      <c r="C634" s="3"/>
      <c r="D634" s="3"/>
      <c r="E634" s="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4.25" customHeight="1" x14ac:dyDescent="0.2">
      <c r="A635" s="2"/>
      <c r="B635" s="3"/>
      <c r="C635" s="3"/>
      <c r="D635" s="3"/>
      <c r="E635" s="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4.25" customHeight="1" x14ac:dyDescent="0.2">
      <c r="A636" s="2"/>
      <c r="B636" s="3"/>
      <c r="C636" s="3"/>
      <c r="D636" s="3"/>
      <c r="E636" s="4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4.25" customHeight="1" x14ac:dyDescent="0.2">
      <c r="A637" s="2"/>
      <c r="B637" s="3"/>
      <c r="C637" s="3"/>
      <c r="D637" s="3"/>
      <c r="E637" s="4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4.25" customHeight="1" x14ac:dyDescent="0.2">
      <c r="A638" s="2"/>
      <c r="B638" s="3"/>
      <c r="C638" s="3"/>
      <c r="D638" s="3"/>
      <c r="E638" s="4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4.25" customHeight="1" x14ac:dyDescent="0.2">
      <c r="A639" s="2"/>
      <c r="B639" s="3"/>
      <c r="C639" s="3"/>
      <c r="D639" s="3"/>
      <c r="E639" s="4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4.25" customHeight="1" x14ac:dyDescent="0.2">
      <c r="A640" s="2"/>
      <c r="B640" s="3"/>
      <c r="C640" s="3"/>
      <c r="D640" s="3"/>
      <c r="E640" s="4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4.25" customHeight="1" x14ac:dyDescent="0.2">
      <c r="A641" s="2"/>
      <c r="B641" s="3"/>
      <c r="C641" s="3"/>
      <c r="D641" s="3"/>
      <c r="E641" s="4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4.25" customHeight="1" x14ac:dyDescent="0.2">
      <c r="A642" s="2"/>
      <c r="B642" s="3"/>
      <c r="C642" s="3"/>
      <c r="D642" s="3"/>
      <c r="E642" s="4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4.25" customHeight="1" x14ac:dyDescent="0.2">
      <c r="A643" s="2"/>
      <c r="B643" s="3"/>
      <c r="C643" s="3"/>
      <c r="D643" s="3"/>
      <c r="E643" s="4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4.25" customHeight="1" x14ac:dyDescent="0.2">
      <c r="A644" s="2"/>
      <c r="B644" s="3"/>
      <c r="C644" s="3"/>
      <c r="D644" s="3"/>
      <c r="E644" s="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4.25" customHeight="1" x14ac:dyDescent="0.2">
      <c r="A645" s="2"/>
      <c r="B645" s="3"/>
      <c r="C645" s="3"/>
      <c r="D645" s="3"/>
      <c r="E645" s="4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4.25" customHeight="1" x14ac:dyDescent="0.2">
      <c r="A646" s="2"/>
      <c r="B646" s="3"/>
      <c r="C646" s="3"/>
      <c r="D646" s="3"/>
      <c r="E646" s="4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4.25" customHeight="1" x14ac:dyDescent="0.2">
      <c r="A647" s="2"/>
      <c r="B647" s="3"/>
      <c r="C647" s="3"/>
      <c r="D647" s="3"/>
      <c r="E647" s="4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4.25" customHeight="1" x14ac:dyDescent="0.2">
      <c r="A648" s="2"/>
      <c r="B648" s="3"/>
      <c r="C648" s="3"/>
      <c r="D648" s="3"/>
      <c r="E648" s="4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4.25" customHeight="1" x14ac:dyDescent="0.2">
      <c r="A649" s="2"/>
      <c r="B649" s="3"/>
      <c r="C649" s="3"/>
      <c r="D649" s="3"/>
      <c r="E649" s="4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4.25" customHeight="1" x14ac:dyDescent="0.2">
      <c r="A650" s="2"/>
      <c r="B650" s="3"/>
      <c r="C650" s="3"/>
      <c r="D650" s="3"/>
      <c r="E650" s="4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4.25" customHeight="1" x14ac:dyDescent="0.2">
      <c r="A651" s="2"/>
      <c r="B651" s="3"/>
      <c r="C651" s="3"/>
      <c r="D651" s="3"/>
      <c r="E651" s="4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4.25" customHeight="1" x14ac:dyDescent="0.2">
      <c r="A652" s="2"/>
      <c r="B652" s="3"/>
      <c r="C652" s="3"/>
      <c r="D652" s="3"/>
      <c r="E652" s="4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4.25" customHeight="1" x14ac:dyDescent="0.2">
      <c r="A653" s="2"/>
      <c r="B653" s="3"/>
      <c r="C653" s="3"/>
      <c r="D653" s="3"/>
      <c r="E653" s="4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4.25" customHeight="1" x14ac:dyDescent="0.2">
      <c r="A654" s="2"/>
      <c r="B654" s="3"/>
      <c r="C654" s="3"/>
      <c r="D654" s="3"/>
      <c r="E654" s="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4.25" customHeight="1" x14ac:dyDescent="0.2">
      <c r="A655" s="2"/>
      <c r="B655" s="3"/>
      <c r="C655" s="3"/>
      <c r="D655" s="3"/>
      <c r="E655" s="4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4.25" customHeight="1" x14ac:dyDescent="0.2">
      <c r="A656" s="2"/>
      <c r="B656" s="3"/>
      <c r="C656" s="3"/>
      <c r="D656" s="3"/>
      <c r="E656" s="4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4.25" customHeight="1" x14ac:dyDescent="0.2">
      <c r="A657" s="2"/>
      <c r="B657" s="3"/>
      <c r="C657" s="3"/>
      <c r="D657" s="3"/>
      <c r="E657" s="4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4.25" customHeight="1" x14ac:dyDescent="0.2">
      <c r="A658" s="2"/>
      <c r="B658" s="3"/>
      <c r="C658" s="3"/>
      <c r="D658" s="3"/>
      <c r="E658" s="4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4.25" customHeight="1" x14ac:dyDescent="0.2">
      <c r="A659" s="2"/>
      <c r="B659" s="3"/>
      <c r="C659" s="3"/>
      <c r="D659" s="3"/>
      <c r="E659" s="4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4.25" customHeight="1" x14ac:dyDescent="0.2">
      <c r="A660" s="2"/>
      <c r="B660" s="3"/>
      <c r="C660" s="3"/>
      <c r="D660" s="3"/>
      <c r="E660" s="4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4.25" customHeight="1" x14ac:dyDescent="0.2">
      <c r="A661" s="2"/>
      <c r="B661" s="3"/>
      <c r="C661" s="3"/>
      <c r="D661" s="3"/>
      <c r="E661" s="4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4.25" customHeight="1" x14ac:dyDescent="0.2">
      <c r="A662" s="2"/>
      <c r="B662" s="3"/>
      <c r="C662" s="3"/>
      <c r="D662" s="3"/>
      <c r="E662" s="4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4.25" customHeight="1" x14ac:dyDescent="0.2">
      <c r="A663" s="2"/>
      <c r="B663" s="3"/>
      <c r="C663" s="3"/>
      <c r="D663" s="3"/>
      <c r="E663" s="4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4.25" customHeight="1" x14ac:dyDescent="0.2">
      <c r="A664" s="2"/>
      <c r="B664" s="3"/>
      <c r="C664" s="3"/>
      <c r="D664" s="3"/>
      <c r="E664" s="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4.25" customHeight="1" x14ac:dyDescent="0.2">
      <c r="A665" s="2"/>
      <c r="B665" s="3"/>
      <c r="C665" s="3"/>
      <c r="D665" s="3"/>
      <c r="E665" s="4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4.25" customHeight="1" x14ac:dyDescent="0.2">
      <c r="A666" s="2"/>
      <c r="B666" s="3"/>
      <c r="C666" s="3"/>
      <c r="D666" s="3"/>
      <c r="E666" s="4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4.25" customHeight="1" x14ac:dyDescent="0.2">
      <c r="A667" s="2"/>
      <c r="B667" s="3"/>
      <c r="C667" s="3"/>
      <c r="D667" s="3"/>
      <c r="E667" s="4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4.25" customHeight="1" x14ac:dyDescent="0.2">
      <c r="A668" s="2"/>
      <c r="B668" s="3"/>
      <c r="C668" s="3"/>
      <c r="D668" s="3"/>
      <c r="E668" s="4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4.25" customHeight="1" x14ac:dyDescent="0.2">
      <c r="A669" s="2"/>
      <c r="B669" s="3"/>
      <c r="C669" s="3"/>
      <c r="D669" s="3"/>
      <c r="E669" s="4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4.25" customHeight="1" x14ac:dyDescent="0.2">
      <c r="A670" s="2"/>
      <c r="B670" s="3"/>
      <c r="C670" s="3"/>
      <c r="D670" s="3"/>
      <c r="E670" s="4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4.25" customHeight="1" x14ac:dyDescent="0.2">
      <c r="A671" s="2"/>
      <c r="B671" s="3"/>
      <c r="C671" s="3"/>
      <c r="D671" s="3"/>
      <c r="E671" s="4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4.25" customHeight="1" x14ac:dyDescent="0.2">
      <c r="A672" s="2"/>
      <c r="B672" s="3"/>
      <c r="C672" s="3"/>
      <c r="D672" s="3"/>
      <c r="E672" s="4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4.25" customHeight="1" x14ac:dyDescent="0.2">
      <c r="A673" s="2"/>
      <c r="B673" s="3"/>
      <c r="C673" s="3"/>
      <c r="D673" s="3"/>
      <c r="E673" s="4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4.25" customHeight="1" x14ac:dyDescent="0.2">
      <c r="A674" s="2"/>
      <c r="B674" s="3"/>
      <c r="C674" s="3"/>
      <c r="D674" s="3"/>
      <c r="E674" s="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4.25" customHeight="1" x14ac:dyDescent="0.2">
      <c r="A675" s="2"/>
      <c r="B675" s="3"/>
      <c r="C675" s="3"/>
      <c r="D675" s="3"/>
      <c r="E675" s="4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4.25" customHeight="1" x14ac:dyDescent="0.2">
      <c r="A676" s="2"/>
      <c r="B676" s="3"/>
      <c r="C676" s="3"/>
      <c r="D676" s="3"/>
      <c r="E676" s="4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4.25" customHeight="1" x14ac:dyDescent="0.2">
      <c r="A677" s="2"/>
      <c r="B677" s="3"/>
      <c r="C677" s="3"/>
      <c r="D677" s="3"/>
      <c r="E677" s="4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4.25" customHeight="1" x14ac:dyDescent="0.2">
      <c r="A678" s="2"/>
      <c r="B678" s="3"/>
      <c r="C678" s="3"/>
      <c r="D678" s="3"/>
      <c r="E678" s="4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4.25" customHeight="1" x14ac:dyDescent="0.2">
      <c r="A679" s="2"/>
      <c r="B679" s="3"/>
      <c r="C679" s="3"/>
      <c r="D679" s="3"/>
      <c r="E679" s="4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4.25" customHeight="1" x14ac:dyDescent="0.2">
      <c r="A680" s="2"/>
      <c r="B680" s="3"/>
      <c r="C680" s="3"/>
      <c r="D680" s="3"/>
      <c r="E680" s="4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4.25" customHeight="1" x14ac:dyDescent="0.2">
      <c r="A681" s="2"/>
      <c r="B681" s="3"/>
      <c r="C681" s="3"/>
      <c r="D681" s="3"/>
      <c r="E681" s="4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4.25" customHeight="1" x14ac:dyDescent="0.2">
      <c r="A682" s="2"/>
      <c r="B682" s="3"/>
      <c r="C682" s="3"/>
      <c r="D682" s="3"/>
      <c r="E682" s="4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4.25" customHeight="1" x14ac:dyDescent="0.2">
      <c r="A683" s="2"/>
      <c r="B683" s="3"/>
      <c r="C683" s="3"/>
      <c r="D683" s="3"/>
      <c r="E683" s="4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4.25" customHeight="1" x14ac:dyDescent="0.2">
      <c r="A684" s="2"/>
      <c r="B684" s="3"/>
      <c r="C684" s="3"/>
      <c r="D684" s="3"/>
      <c r="E684" s="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4.25" customHeight="1" x14ac:dyDescent="0.2">
      <c r="A685" s="2"/>
      <c r="B685" s="3"/>
      <c r="C685" s="3"/>
      <c r="D685" s="3"/>
      <c r="E685" s="4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4.25" customHeight="1" x14ac:dyDescent="0.2">
      <c r="A686" s="2"/>
      <c r="B686" s="3"/>
      <c r="C686" s="3"/>
      <c r="D686" s="3"/>
      <c r="E686" s="4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4.25" customHeight="1" x14ac:dyDescent="0.2">
      <c r="A687" s="2"/>
      <c r="B687" s="3"/>
      <c r="C687" s="3"/>
      <c r="D687" s="3"/>
      <c r="E687" s="4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4.25" customHeight="1" x14ac:dyDescent="0.2">
      <c r="A688" s="2"/>
      <c r="B688" s="3"/>
      <c r="C688" s="3"/>
      <c r="D688" s="3"/>
      <c r="E688" s="4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4.25" customHeight="1" x14ac:dyDescent="0.2">
      <c r="A689" s="2"/>
      <c r="B689" s="3"/>
      <c r="C689" s="3"/>
      <c r="D689" s="3"/>
      <c r="E689" s="4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4.25" customHeight="1" x14ac:dyDescent="0.2">
      <c r="A690" s="2"/>
      <c r="B690" s="3"/>
      <c r="C690" s="3"/>
      <c r="D690" s="3"/>
      <c r="E690" s="4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4.25" customHeight="1" x14ac:dyDescent="0.2">
      <c r="A691" s="2"/>
      <c r="B691" s="3"/>
      <c r="C691" s="3"/>
      <c r="D691" s="3"/>
      <c r="E691" s="4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4.25" customHeight="1" x14ac:dyDescent="0.2">
      <c r="A692" s="2"/>
      <c r="B692" s="3"/>
      <c r="C692" s="3"/>
      <c r="D692" s="3"/>
      <c r="E692" s="4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4.25" customHeight="1" x14ac:dyDescent="0.2">
      <c r="A693" s="2"/>
      <c r="B693" s="3"/>
      <c r="C693" s="3"/>
      <c r="D693" s="3"/>
      <c r="E693" s="4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4.25" customHeight="1" x14ac:dyDescent="0.2">
      <c r="A694" s="2"/>
      <c r="B694" s="3"/>
      <c r="C694" s="3"/>
      <c r="D694" s="3"/>
      <c r="E694" s="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4.25" customHeight="1" x14ac:dyDescent="0.2">
      <c r="A695" s="2"/>
      <c r="B695" s="3"/>
      <c r="C695" s="3"/>
      <c r="D695" s="3"/>
      <c r="E695" s="4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4.25" customHeight="1" x14ac:dyDescent="0.2">
      <c r="A696" s="2"/>
      <c r="B696" s="3"/>
      <c r="C696" s="3"/>
      <c r="D696" s="3"/>
      <c r="E696" s="4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4.25" customHeight="1" x14ac:dyDescent="0.2">
      <c r="A697" s="2"/>
      <c r="B697" s="3"/>
      <c r="C697" s="3"/>
      <c r="D697" s="3"/>
      <c r="E697" s="4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4.25" customHeight="1" x14ac:dyDescent="0.2">
      <c r="A698" s="2"/>
      <c r="B698" s="3"/>
      <c r="C698" s="3"/>
      <c r="D698" s="3"/>
      <c r="E698" s="4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4.25" customHeight="1" x14ac:dyDescent="0.2">
      <c r="A699" s="2"/>
      <c r="B699" s="3"/>
      <c r="C699" s="3"/>
      <c r="D699" s="3"/>
      <c r="E699" s="4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4.25" customHeight="1" x14ac:dyDescent="0.2">
      <c r="A700" s="2"/>
      <c r="B700" s="3"/>
      <c r="C700" s="3"/>
      <c r="D700" s="3"/>
      <c r="E700" s="4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4.25" customHeight="1" x14ac:dyDescent="0.2">
      <c r="A701" s="2"/>
      <c r="B701" s="3"/>
      <c r="C701" s="3"/>
      <c r="D701" s="3"/>
      <c r="E701" s="4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4.25" customHeight="1" x14ac:dyDescent="0.2">
      <c r="A702" s="2"/>
      <c r="B702" s="3"/>
      <c r="C702" s="3"/>
      <c r="D702" s="3"/>
      <c r="E702" s="4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4.25" customHeight="1" x14ac:dyDescent="0.2">
      <c r="A703" s="2"/>
      <c r="B703" s="3"/>
      <c r="C703" s="3"/>
      <c r="D703" s="3"/>
      <c r="E703" s="4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4.25" customHeight="1" x14ac:dyDescent="0.2">
      <c r="A704" s="2"/>
      <c r="B704" s="3"/>
      <c r="C704" s="3"/>
      <c r="D704" s="3"/>
      <c r="E704" s="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4.25" customHeight="1" x14ac:dyDescent="0.2">
      <c r="A705" s="2"/>
      <c r="B705" s="3"/>
      <c r="C705" s="3"/>
      <c r="D705" s="3"/>
      <c r="E705" s="4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4.25" customHeight="1" x14ac:dyDescent="0.2">
      <c r="A706" s="2"/>
      <c r="B706" s="3"/>
      <c r="C706" s="3"/>
      <c r="D706" s="3"/>
      <c r="E706" s="4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4.25" customHeight="1" x14ac:dyDescent="0.2">
      <c r="A707" s="2"/>
      <c r="B707" s="3"/>
      <c r="C707" s="3"/>
      <c r="D707" s="3"/>
      <c r="E707" s="4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4.25" customHeight="1" x14ac:dyDescent="0.2">
      <c r="A708" s="2"/>
      <c r="B708" s="3"/>
      <c r="C708" s="3"/>
      <c r="D708" s="3"/>
      <c r="E708" s="4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4.25" customHeight="1" x14ac:dyDescent="0.2">
      <c r="A709" s="2"/>
      <c r="B709" s="3"/>
      <c r="C709" s="3"/>
      <c r="D709" s="3"/>
      <c r="E709" s="4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4.25" customHeight="1" x14ac:dyDescent="0.2">
      <c r="A710" s="2"/>
      <c r="B710" s="3"/>
      <c r="C710" s="3"/>
      <c r="D710" s="3"/>
      <c r="E710" s="4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4.25" customHeight="1" x14ac:dyDescent="0.2">
      <c r="A711" s="2"/>
      <c r="B711" s="3"/>
      <c r="C711" s="3"/>
      <c r="D711" s="3"/>
      <c r="E711" s="4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4.25" customHeight="1" x14ac:dyDescent="0.2">
      <c r="A712" s="2"/>
      <c r="B712" s="3"/>
      <c r="C712" s="3"/>
      <c r="D712" s="3"/>
      <c r="E712" s="4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4.25" customHeight="1" x14ac:dyDescent="0.2">
      <c r="A713" s="2"/>
      <c r="B713" s="3"/>
      <c r="C713" s="3"/>
      <c r="D713" s="3"/>
      <c r="E713" s="4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4.25" customHeight="1" x14ac:dyDescent="0.2">
      <c r="A714" s="2"/>
      <c r="B714" s="3"/>
      <c r="C714" s="3"/>
      <c r="D714" s="3"/>
      <c r="E714" s="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4.25" customHeight="1" x14ac:dyDescent="0.2">
      <c r="A715" s="2"/>
      <c r="B715" s="3"/>
      <c r="C715" s="3"/>
      <c r="D715" s="3"/>
      <c r="E715" s="4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4.25" customHeight="1" x14ac:dyDescent="0.2">
      <c r="A716" s="2"/>
      <c r="B716" s="3"/>
      <c r="C716" s="3"/>
      <c r="D716" s="3"/>
      <c r="E716" s="4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4.25" customHeight="1" x14ac:dyDescent="0.2">
      <c r="A717" s="2"/>
      <c r="B717" s="3"/>
      <c r="C717" s="3"/>
      <c r="D717" s="3"/>
      <c r="E717" s="4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4.25" customHeight="1" x14ac:dyDescent="0.2">
      <c r="A718" s="2"/>
      <c r="B718" s="3"/>
      <c r="C718" s="3"/>
      <c r="D718" s="3"/>
      <c r="E718" s="4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4.25" customHeight="1" x14ac:dyDescent="0.2">
      <c r="A719" s="2"/>
      <c r="B719" s="3"/>
      <c r="C719" s="3"/>
      <c r="D719" s="3"/>
      <c r="E719" s="4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4.25" customHeight="1" x14ac:dyDescent="0.2">
      <c r="A720" s="2"/>
      <c r="B720" s="3"/>
      <c r="C720" s="3"/>
      <c r="D720" s="3"/>
      <c r="E720" s="4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4.25" customHeight="1" x14ac:dyDescent="0.2">
      <c r="A721" s="2"/>
      <c r="B721" s="3"/>
      <c r="C721" s="3"/>
      <c r="D721" s="3"/>
      <c r="E721" s="4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4.25" customHeight="1" x14ac:dyDescent="0.2">
      <c r="A722" s="2"/>
      <c r="B722" s="3"/>
      <c r="C722" s="3"/>
      <c r="D722" s="3"/>
      <c r="E722" s="4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4.25" customHeight="1" x14ac:dyDescent="0.2">
      <c r="A723" s="2"/>
      <c r="B723" s="3"/>
      <c r="C723" s="3"/>
      <c r="D723" s="3"/>
      <c r="E723" s="4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4.25" customHeight="1" x14ac:dyDescent="0.2">
      <c r="A724" s="2"/>
      <c r="B724" s="3"/>
      <c r="C724" s="3"/>
      <c r="D724" s="3"/>
      <c r="E724" s="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4.25" customHeight="1" x14ac:dyDescent="0.2">
      <c r="A725" s="2"/>
      <c r="B725" s="3"/>
      <c r="C725" s="3"/>
      <c r="D725" s="3"/>
      <c r="E725" s="4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4.25" customHeight="1" x14ac:dyDescent="0.2">
      <c r="A726" s="2"/>
      <c r="B726" s="3"/>
      <c r="C726" s="3"/>
      <c r="D726" s="3"/>
      <c r="E726" s="4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4.25" customHeight="1" x14ac:dyDescent="0.2">
      <c r="A727" s="2"/>
      <c r="B727" s="3"/>
      <c r="C727" s="3"/>
      <c r="D727" s="3"/>
      <c r="E727" s="4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4.25" customHeight="1" x14ac:dyDescent="0.2">
      <c r="A728" s="2"/>
      <c r="B728" s="3"/>
      <c r="C728" s="3"/>
      <c r="D728" s="3"/>
      <c r="E728" s="4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4.25" customHeight="1" x14ac:dyDescent="0.2">
      <c r="A729" s="2"/>
      <c r="B729" s="3"/>
      <c r="C729" s="3"/>
      <c r="D729" s="3"/>
      <c r="E729" s="4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4.25" customHeight="1" x14ac:dyDescent="0.2">
      <c r="A730" s="2"/>
      <c r="B730" s="3"/>
      <c r="C730" s="3"/>
      <c r="D730" s="3"/>
      <c r="E730" s="4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4.25" customHeight="1" x14ac:dyDescent="0.2">
      <c r="A731" s="2"/>
      <c r="B731" s="3"/>
      <c r="C731" s="3"/>
      <c r="D731" s="3"/>
      <c r="E731" s="4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4.25" customHeight="1" x14ac:dyDescent="0.2">
      <c r="A732" s="2"/>
      <c r="B732" s="3"/>
      <c r="C732" s="3"/>
      <c r="D732" s="3"/>
      <c r="E732" s="4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4.25" customHeight="1" x14ac:dyDescent="0.2">
      <c r="A733" s="2"/>
      <c r="B733" s="3"/>
      <c r="C733" s="3"/>
      <c r="D733" s="3"/>
      <c r="E733" s="4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4.25" customHeight="1" x14ac:dyDescent="0.2">
      <c r="A734" s="2"/>
      <c r="B734" s="3"/>
      <c r="C734" s="3"/>
      <c r="D734" s="3"/>
      <c r="E734" s="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4.25" customHeight="1" x14ac:dyDescent="0.2">
      <c r="A735" s="2"/>
      <c r="B735" s="3"/>
      <c r="C735" s="3"/>
      <c r="D735" s="3"/>
      <c r="E735" s="4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4.25" customHeight="1" x14ac:dyDescent="0.2">
      <c r="A736" s="2"/>
      <c r="B736" s="3"/>
      <c r="C736" s="3"/>
      <c r="D736" s="3"/>
      <c r="E736" s="4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4.25" customHeight="1" x14ac:dyDescent="0.2">
      <c r="A737" s="2"/>
      <c r="B737" s="3"/>
      <c r="C737" s="3"/>
      <c r="D737" s="3"/>
      <c r="E737" s="4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4.25" customHeight="1" x14ac:dyDescent="0.2">
      <c r="A738" s="2"/>
      <c r="B738" s="3"/>
      <c r="C738" s="3"/>
      <c r="D738" s="3"/>
      <c r="E738" s="4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4.25" customHeight="1" x14ac:dyDescent="0.2">
      <c r="A739" s="2"/>
      <c r="B739" s="3"/>
      <c r="C739" s="3"/>
      <c r="D739" s="3"/>
      <c r="E739" s="4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4.25" customHeight="1" x14ac:dyDescent="0.2">
      <c r="A740" s="2"/>
      <c r="B740" s="3"/>
      <c r="C740" s="3"/>
      <c r="D740" s="3"/>
      <c r="E740" s="4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4.25" customHeight="1" x14ac:dyDescent="0.2">
      <c r="A741" s="2"/>
      <c r="B741" s="3"/>
      <c r="C741" s="3"/>
      <c r="D741" s="3"/>
      <c r="E741" s="4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4.25" customHeight="1" x14ac:dyDescent="0.2">
      <c r="A742" s="2"/>
      <c r="B742" s="3"/>
      <c r="C742" s="3"/>
      <c r="D742" s="3"/>
      <c r="E742" s="4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4.25" customHeight="1" x14ac:dyDescent="0.2">
      <c r="A743" s="2"/>
      <c r="B743" s="3"/>
      <c r="C743" s="3"/>
      <c r="D743" s="3"/>
      <c r="E743" s="4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4.25" customHeight="1" x14ac:dyDescent="0.2">
      <c r="A744" s="2"/>
      <c r="B744" s="3"/>
      <c r="C744" s="3"/>
      <c r="D744" s="3"/>
      <c r="E744" s="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4.25" customHeight="1" x14ac:dyDescent="0.2">
      <c r="A745" s="2"/>
      <c r="B745" s="3"/>
      <c r="C745" s="3"/>
      <c r="D745" s="3"/>
      <c r="E745" s="4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4.25" customHeight="1" x14ac:dyDescent="0.2">
      <c r="A746" s="2"/>
      <c r="B746" s="3"/>
      <c r="C746" s="3"/>
      <c r="D746" s="3"/>
      <c r="E746" s="4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4.25" customHeight="1" x14ac:dyDescent="0.2">
      <c r="A747" s="2"/>
      <c r="B747" s="3"/>
      <c r="C747" s="3"/>
      <c r="D747" s="3"/>
      <c r="E747" s="4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4.25" customHeight="1" x14ac:dyDescent="0.2">
      <c r="A748" s="2"/>
      <c r="B748" s="3"/>
      <c r="C748" s="3"/>
      <c r="D748" s="3"/>
      <c r="E748" s="4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4.25" customHeight="1" x14ac:dyDescent="0.2">
      <c r="A749" s="2"/>
      <c r="B749" s="3"/>
      <c r="C749" s="3"/>
      <c r="D749" s="3"/>
      <c r="E749" s="4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4.25" customHeight="1" x14ac:dyDescent="0.2">
      <c r="A750" s="2"/>
      <c r="B750" s="3"/>
      <c r="C750" s="3"/>
      <c r="D750" s="3"/>
      <c r="E750" s="4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4.25" customHeight="1" x14ac:dyDescent="0.2">
      <c r="A751" s="2"/>
      <c r="B751" s="3"/>
      <c r="C751" s="3"/>
      <c r="D751" s="3"/>
      <c r="E751" s="4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4.25" customHeight="1" x14ac:dyDescent="0.2">
      <c r="A752" s="2"/>
      <c r="B752" s="3"/>
      <c r="C752" s="3"/>
      <c r="D752" s="3"/>
      <c r="E752" s="4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4.25" customHeight="1" x14ac:dyDescent="0.2">
      <c r="A753" s="2"/>
      <c r="B753" s="3"/>
      <c r="C753" s="3"/>
      <c r="D753" s="3"/>
      <c r="E753" s="4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4.25" customHeight="1" x14ac:dyDescent="0.2">
      <c r="A754" s="2"/>
      <c r="B754" s="3"/>
      <c r="C754" s="3"/>
      <c r="D754" s="3"/>
      <c r="E754" s="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4.25" customHeight="1" x14ac:dyDescent="0.2">
      <c r="A755" s="2"/>
      <c r="B755" s="3"/>
      <c r="C755" s="3"/>
      <c r="D755" s="3"/>
      <c r="E755" s="4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4.25" customHeight="1" x14ac:dyDescent="0.2">
      <c r="A756" s="2"/>
      <c r="B756" s="3"/>
      <c r="C756" s="3"/>
      <c r="D756" s="3"/>
      <c r="E756" s="4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4.25" customHeight="1" x14ac:dyDescent="0.2">
      <c r="A757" s="2"/>
      <c r="B757" s="3"/>
      <c r="C757" s="3"/>
      <c r="D757" s="3"/>
      <c r="E757" s="4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4.25" customHeight="1" x14ac:dyDescent="0.2">
      <c r="A758" s="2"/>
      <c r="B758" s="3"/>
      <c r="C758" s="3"/>
      <c r="D758" s="3"/>
      <c r="E758" s="4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4.25" customHeight="1" x14ac:dyDescent="0.2">
      <c r="A759" s="2"/>
      <c r="B759" s="3"/>
      <c r="C759" s="3"/>
      <c r="D759" s="3"/>
      <c r="E759" s="4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4.25" customHeight="1" x14ac:dyDescent="0.2">
      <c r="A760" s="2"/>
      <c r="B760" s="3"/>
      <c r="C760" s="3"/>
      <c r="D760" s="3"/>
      <c r="E760" s="4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4.25" customHeight="1" x14ac:dyDescent="0.2">
      <c r="A761" s="2"/>
      <c r="B761" s="3"/>
      <c r="C761" s="3"/>
      <c r="D761" s="3"/>
      <c r="E761" s="4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4.25" customHeight="1" x14ac:dyDescent="0.2">
      <c r="A762" s="2"/>
      <c r="B762" s="3"/>
      <c r="C762" s="3"/>
      <c r="D762" s="3"/>
      <c r="E762" s="4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4.25" customHeight="1" x14ac:dyDescent="0.2">
      <c r="A763" s="2"/>
      <c r="B763" s="3"/>
      <c r="C763" s="3"/>
      <c r="D763" s="3"/>
      <c r="E763" s="4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4.25" customHeight="1" x14ac:dyDescent="0.2">
      <c r="A764" s="2"/>
      <c r="B764" s="3"/>
      <c r="C764" s="3"/>
      <c r="D764" s="3"/>
      <c r="E764" s="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4.25" customHeight="1" x14ac:dyDescent="0.2">
      <c r="A765" s="2"/>
      <c r="B765" s="3"/>
      <c r="C765" s="3"/>
      <c r="D765" s="3"/>
      <c r="E765" s="4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4.25" customHeight="1" x14ac:dyDescent="0.2">
      <c r="A766" s="2"/>
      <c r="B766" s="3"/>
      <c r="C766" s="3"/>
      <c r="D766" s="3"/>
      <c r="E766" s="4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4.25" customHeight="1" x14ac:dyDescent="0.2">
      <c r="A767" s="2"/>
      <c r="B767" s="3"/>
      <c r="C767" s="3"/>
      <c r="D767" s="3"/>
      <c r="E767" s="4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4.25" customHeight="1" x14ac:dyDescent="0.2">
      <c r="A768" s="2"/>
      <c r="B768" s="3"/>
      <c r="C768" s="3"/>
      <c r="D768" s="3"/>
      <c r="E768" s="4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4.25" customHeight="1" x14ac:dyDescent="0.2">
      <c r="A769" s="2"/>
      <c r="B769" s="3"/>
      <c r="C769" s="3"/>
      <c r="D769" s="3"/>
      <c r="E769" s="4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4.25" customHeight="1" x14ac:dyDescent="0.2">
      <c r="A770" s="2"/>
      <c r="B770" s="3"/>
      <c r="C770" s="3"/>
      <c r="D770" s="3"/>
      <c r="E770" s="4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4.25" customHeight="1" x14ac:dyDescent="0.2">
      <c r="A771" s="2"/>
      <c r="B771" s="3"/>
      <c r="C771" s="3"/>
      <c r="D771" s="3"/>
      <c r="E771" s="4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4.25" customHeight="1" x14ac:dyDescent="0.2">
      <c r="A772" s="2"/>
      <c r="B772" s="3"/>
      <c r="C772" s="3"/>
      <c r="D772" s="3"/>
      <c r="E772" s="4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4.25" customHeight="1" x14ac:dyDescent="0.2">
      <c r="A773" s="2"/>
      <c r="B773" s="3"/>
      <c r="C773" s="3"/>
      <c r="D773" s="3"/>
      <c r="E773" s="4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4.25" customHeight="1" x14ac:dyDescent="0.2">
      <c r="A774" s="2"/>
      <c r="B774" s="3"/>
      <c r="C774" s="3"/>
      <c r="D774" s="3"/>
      <c r="E774" s="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4.25" customHeight="1" x14ac:dyDescent="0.2">
      <c r="A775" s="2"/>
      <c r="B775" s="3"/>
      <c r="C775" s="3"/>
      <c r="D775" s="3"/>
      <c r="E775" s="4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4.25" customHeight="1" x14ac:dyDescent="0.2">
      <c r="A776" s="2"/>
      <c r="B776" s="3"/>
      <c r="C776" s="3"/>
      <c r="D776" s="3"/>
      <c r="E776" s="4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4.25" customHeight="1" x14ac:dyDescent="0.2">
      <c r="A777" s="2"/>
      <c r="B777" s="3"/>
      <c r="C777" s="3"/>
      <c r="D777" s="3"/>
      <c r="E777" s="4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4.25" customHeight="1" x14ac:dyDescent="0.2">
      <c r="A778" s="2"/>
      <c r="B778" s="3"/>
      <c r="C778" s="3"/>
      <c r="D778" s="3"/>
      <c r="E778" s="4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4.25" customHeight="1" x14ac:dyDescent="0.2">
      <c r="A779" s="2"/>
      <c r="B779" s="3"/>
      <c r="C779" s="3"/>
      <c r="D779" s="3"/>
      <c r="E779" s="4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4.25" customHeight="1" x14ac:dyDescent="0.2">
      <c r="A780" s="2"/>
      <c r="B780" s="3"/>
      <c r="C780" s="3"/>
      <c r="D780" s="3"/>
      <c r="E780" s="4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4.25" customHeight="1" x14ac:dyDescent="0.2">
      <c r="A781" s="2"/>
      <c r="B781" s="3"/>
      <c r="C781" s="3"/>
      <c r="D781" s="3"/>
      <c r="E781" s="4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4.25" customHeight="1" x14ac:dyDescent="0.2">
      <c r="A782" s="2"/>
      <c r="B782" s="3"/>
      <c r="C782" s="3"/>
      <c r="D782" s="3"/>
      <c r="E782" s="4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4.25" customHeight="1" x14ac:dyDescent="0.2">
      <c r="A783" s="2"/>
      <c r="B783" s="3"/>
      <c r="C783" s="3"/>
      <c r="D783" s="3"/>
      <c r="E783" s="4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4.25" customHeight="1" x14ac:dyDescent="0.2">
      <c r="A784" s="2"/>
      <c r="B784" s="3"/>
      <c r="C784" s="3"/>
      <c r="D784" s="3"/>
      <c r="E784" s="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4.25" customHeight="1" x14ac:dyDescent="0.2">
      <c r="A785" s="2"/>
      <c r="B785" s="3"/>
      <c r="C785" s="3"/>
      <c r="D785" s="3"/>
      <c r="E785" s="4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4.25" customHeight="1" x14ac:dyDescent="0.2">
      <c r="A786" s="2"/>
      <c r="B786" s="3"/>
      <c r="C786" s="3"/>
      <c r="D786" s="3"/>
      <c r="E786" s="4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4.25" customHeight="1" x14ac:dyDescent="0.2">
      <c r="A787" s="2"/>
      <c r="B787" s="3"/>
      <c r="C787" s="3"/>
      <c r="D787" s="3"/>
      <c r="E787" s="4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4.25" customHeight="1" x14ac:dyDescent="0.2">
      <c r="A788" s="2"/>
      <c r="B788" s="3"/>
      <c r="C788" s="3"/>
      <c r="D788" s="3"/>
      <c r="E788" s="4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4.25" customHeight="1" x14ac:dyDescent="0.2">
      <c r="A789" s="2"/>
      <c r="B789" s="3"/>
      <c r="C789" s="3"/>
      <c r="D789" s="3"/>
      <c r="E789" s="4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4.25" customHeight="1" x14ac:dyDescent="0.2">
      <c r="A790" s="2"/>
      <c r="B790" s="3"/>
      <c r="C790" s="3"/>
      <c r="D790" s="3"/>
      <c r="E790" s="4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4.25" customHeight="1" x14ac:dyDescent="0.2">
      <c r="A791" s="2"/>
      <c r="B791" s="3"/>
      <c r="C791" s="3"/>
      <c r="D791" s="3"/>
      <c r="E791" s="4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4.25" customHeight="1" x14ac:dyDescent="0.2">
      <c r="A792" s="2"/>
      <c r="B792" s="3"/>
      <c r="C792" s="3"/>
      <c r="D792" s="3"/>
      <c r="E792" s="4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4.25" customHeight="1" x14ac:dyDescent="0.2">
      <c r="A793" s="2"/>
      <c r="B793" s="3"/>
      <c r="C793" s="3"/>
      <c r="D793" s="3"/>
      <c r="E793" s="4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4.25" customHeight="1" x14ac:dyDescent="0.2">
      <c r="A794" s="2"/>
      <c r="B794" s="3"/>
      <c r="C794" s="3"/>
      <c r="D794" s="3"/>
      <c r="E794" s="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4.25" customHeight="1" x14ac:dyDescent="0.2">
      <c r="A795" s="2"/>
      <c r="B795" s="3"/>
      <c r="C795" s="3"/>
      <c r="D795" s="3"/>
      <c r="E795" s="4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4.25" customHeight="1" x14ac:dyDescent="0.2">
      <c r="A796" s="2"/>
      <c r="B796" s="3"/>
      <c r="C796" s="3"/>
      <c r="D796" s="3"/>
      <c r="E796" s="4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4.25" customHeight="1" x14ac:dyDescent="0.2">
      <c r="A797" s="2"/>
      <c r="B797" s="3"/>
      <c r="C797" s="3"/>
      <c r="D797" s="3"/>
      <c r="E797" s="4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4.25" customHeight="1" x14ac:dyDescent="0.2">
      <c r="A798" s="2"/>
      <c r="B798" s="3"/>
      <c r="C798" s="3"/>
      <c r="D798" s="3"/>
      <c r="E798" s="4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4.25" customHeight="1" x14ac:dyDescent="0.2">
      <c r="A799" s="2"/>
      <c r="B799" s="3"/>
      <c r="C799" s="3"/>
      <c r="D799" s="3"/>
      <c r="E799" s="4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4.25" customHeight="1" x14ac:dyDescent="0.2">
      <c r="A800" s="2"/>
      <c r="B800" s="3"/>
      <c r="C800" s="3"/>
      <c r="D800" s="3"/>
      <c r="E800" s="4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4.25" customHeight="1" x14ac:dyDescent="0.2">
      <c r="A801" s="2"/>
      <c r="B801" s="3"/>
      <c r="C801" s="3"/>
      <c r="D801" s="3"/>
      <c r="E801" s="4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4.25" customHeight="1" x14ac:dyDescent="0.2">
      <c r="A802" s="2"/>
      <c r="B802" s="3"/>
      <c r="C802" s="3"/>
      <c r="D802" s="3"/>
      <c r="E802" s="4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4.25" customHeight="1" x14ac:dyDescent="0.2">
      <c r="A803" s="2"/>
      <c r="B803" s="3"/>
      <c r="C803" s="3"/>
      <c r="D803" s="3"/>
      <c r="E803" s="4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4.25" customHeight="1" x14ac:dyDescent="0.2">
      <c r="A804" s="2"/>
      <c r="B804" s="3"/>
      <c r="C804" s="3"/>
      <c r="D804" s="3"/>
      <c r="E804" s="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4.25" customHeight="1" x14ac:dyDescent="0.2">
      <c r="A805" s="2"/>
      <c r="B805" s="3"/>
      <c r="C805" s="3"/>
      <c r="D805" s="3"/>
      <c r="E805" s="4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4.25" customHeight="1" x14ac:dyDescent="0.2">
      <c r="A806" s="2"/>
      <c r="B806" s="3"/>
      <c r="C806" s="3"/>
      <c r="D806" s="3"/>
      <c r="E806" s="4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4.25" customHeight="1" x14ac:dyDescent="0.2">
      <c r="A807" s="2"/>
      <c r="B807" s="3"/>
      <c r="C807" s="3"/>
      <c r="D807" s="3"/>
      <c r="E807" s="4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4.25" customHeight="1" x14ac:dyDescent="0.2">
      <c r="A808" s="2"/>
      <c r="B808" s="3"/>
      <c r="C808" s="3"/>
      <c r="D808" s="3"/>
      <c r="E808" s="4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4.25" customHeight="1" x14ac:dyDescent="0.2">
      <c r="A809" s="2"/>
      <c r="B809" s="3"/>
      <c r="C809" s="3"/>
      <c r="D809" s="3"/>
      <c r="E809" s="4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4.25" customHeight="1" x14ac:dyDescent="0.2">
      <c r="A810" s="2"/>
      <c r="B810" s="3"/>
      <c r="C810" s="3"/>
      <c r="D810" s="3"/>
      <c r="E810" s="4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4.25" customHeight="1" x14ac:dyDescent="0.2">
      <c r="A811" s="2"/>
      <c r="B811" s="3"/>
      <c r="C811" s="3"/>
      <c r="D811" s="3"/>
      <c r="E811" s="4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4.25" customHeight="1" x14ac:dyDescent="0.2">
      <c r="A812" s="2"/>
      <c r="B812" s="3"/>
      <c r="C812" s="3"/>
      <c r="D812" s="3"/>
      <c r="E812" s="4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4.25" customHeight="1" x14ac:dyDescent="0.2">
      <c r="A813" s="2"/>
      <c r="B813" s="3"/>
      <c r="C813" s="3"/>
      <c r="D813" s="3"/>
      <c r="E813" s="4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4.25" customHeight="1" x14ac:dyDescent="0.2">
      <c r="A814" s="2"/>
      <c r="B814" s="3"/>
      <c r="C814" s="3"/>
      <c r="D814" s="3"/>
      <c r="E814" s="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4.25" customHeight="1" x14ac:dyDescent="0.2">
      <c r="A815" s="2"/>
      <c r="B815" s="3"/>
      <c r="C815" s="3"/>
      <c r="D815" s="3"/>
      <c r="E815" s="4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4.25" customHeight="1" x14ac:dyDescent="0.2">
      <c r="A816" s="2"/>
      <c r="B816" s="3"/>
      <c r="C816" s="3"/>
      <c r="D816" s="3"/>
      <c r="E816" s="4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4.25" customHeight="1" x14ac:dyDescent="0.2">
      <c r="A817" s="2"/>
      <c r="B817" s="3"/>
      <c r="C817" s="3"/>
      <c r="D817" s="3"/>
      <c r="E817" s="4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4.25" customHeight="1" x14ac:dyDescent="0.2">
      <c r="A818" s="2"/>
      <c r="B818" s="3"/>
      <c r="C818" s="3"/>
      <c r="D818" s="3"/>
      <c r="E818" s="4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4.25" customHeight="1" x14ac:dyDescent="0.2">
      <c r="A819" s="2"/>
      <c r="B819" s="3"/>
      <c r="C819" s="3"/>
      <c r="D819" s="3"/>
      <c r="E819" s="4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4.25" customHeight="1" x14ac:dyDescent="0.2">
      <c r="A820" s="2"/>
      <c r="B820" s="3"/>
      <c r="C820" s="3"/>
      <c r="D820" s="3"/>
      <c r="E820" s="4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4.25" customHeight="1" x14ac:dyDescent="0.2">
      <c r="A821" s="2"/>
      <c r="B821" s="3"/>
      <c r="C821" s="3"/>
      <c r="D821" s="3"/>
      <c r="E821" s="4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4.25" customHeight="1" x14ac:dyDescent="0.2">
      <c r="A822" s="2"/>
      <c r="B822" s="3"/>
      <c r="C822" s="3"/>
      <c r="D822" s="3"/>
      <c r="E822" s="4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4.25" customHeight="1" x14ac:dyDescent="0.2">
      <c r="A823" s="2"/>
      <c r="B823" s="3"/>
      <c r="C823" s="3"/>
      <c r="D823" s="3"/>
      <c r="E823" s="4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4.25" customHeight="1" x14ac:dyDescent="0.2">
      <c r="A824" s="2"/>
      <c r="B824" s="3"/>
      <c r="C824" s="3"/>
      <c r="D824" s="3"/>
      <c r="E824" s="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4.25" customHeight="1" x14ac:dyDescent="0.2">
      <c r="A825" s="2"/>
      <c r="B825" s="3"/>
      <c r="C825" s="3"/>
      <c r="D825" s="3"/>
      <c r="E825" s="4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4.25" customHeight="1" x14ac:dyDescent="0.2">
      <c r="A826" s="2"/>
      <c r="B826" s="3"/>
      <c r="C826" s="3"/>
      <c r="D826" s="3"/>
      <c r="E826" s="4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4.25" customHeight="1" x14ac:dyDescent="0.2">
      <c r="A827" s="2"/>
      <c r="B827" s="3"/>
      <c r="C827" s="3"/>
      <c r="D827" s="3"/>
      <c r="E827" s="4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4.25" customHeight="1" x14ac:dyDescent="0.2">
      <c r="A828" s="2"/>
      <c r="B828" s="3"/>
      <c r="C828" s="3"/>
      <c r="D828" s="3"/>
      <c r="E828" s="4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4.25" customHeight="1" x14ac:dyDescent="0.2">
      <c r="A829" s="2"/>
      <c r="B829" s="3"/>
      <c r="C829" s="3"/>
      <c r="D829" s="3"/>
      <c r="E829" s="4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4.25" customHeight="1" x14ac:dyDescent="0.2">
      <c r="A830" s="2"/>
      <c r="B830" s="3"/>
      <c r="C830" s="3"/>
      <c r="D830" s="3"/>
      <c r="E830" s="4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4.25" customHeight="1" x14ac:dyDescent="0.2">
      <c r="A831" s="2"/>
      <c r="B831" s="3"/>
      <c r="C831" s="3"/>
      <c r="D831" s="3"/>
      <c r="E831" s="4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4.25" customHeight="1" x14ac:dyDescent="0.2">
      <c r="A832" s="2"/>
      <c r="B832" s="3"/>
      <c r="C832" s="3"/>
      <c r="D832" s="3"/>
      <c r="E832" s="4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4.25" customHeight="1" x14ac:dyDescent="0.2">
      <c r="A833" s="2"/>
      <c r="B833" s="3"/>
      <c r="C833" s="3"/>
      <c r="D833" s="3"/>
      <c r="E833" s="4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4.25" customHeight="1" x14ac:dyDescent="0.2">
      <c r="A834" s="2"/>
      <c r="B834" s="3"/>
      <c r="C834" s="3"/>
      <c r="D834" s="3"/>
      <c r="E834" s="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4.25" customHeight="1" x14ac:dyDescent="0.2">
      <c r="A835" s="2"/>
      <c r="B835" s="3"/>
      <c r="C835" s="3"/>
      <c r="D835" s="3"/>
      <c r="E835" s="4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4.25" customHeight="1" x14ac:dyDescent="0.2">
      <c r="A836" s="2"/>
      <c r="B836" s="3"/>
      <c r="C836" s="3"/>
      <c r="D836" s="3"/>
      <c r="E836" s="4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4.25" customHeight="1" x14ac:dyDescent="0.2">
      <c r="A837" s="2"/>
      <c r="B837" s="3"/>
      <c r="C837" s="3"/>
      <c r="D837" s="3"/>
      <c r="E837" s="4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4.25" customHeight="1" x14ac:dyDescent="0.2">
      <c r="A838" s="2"/>
      <c r="B838" s="3"/>
      <c r="C838" s="3"/>
      <c r="D838" s="3"/>
      <c r="E838" s="4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4.25" customHeight="1" x14ac:dyDescent="0.2">
      <c r="A839" s="2"/>
      <c r="B839" s="3"/>
      <c r="C839" s="3"/>
      <c r="D839" s="3"/>
      <c r="E839" s="4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4.25" customHeight="1" x14ac:dyDescent="0.2">
      <c r="A840" s="2"/>
      <c r="B840" s="3"/>
      <c r="C840" s="3"/>
      <c r="D840" s="3"/>
      <c r="E840" s="4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4.25" customHeight="1" x14ac:dyDescent="0.2">
      <c r="A841" s="2"/>
      <c r="B841" s="3"/>
      <c r="C841" s="3"/>
      <c r="D841" s="3"/>
      <c r="E841" s="4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4.25" customHeight="1" x14ac:dyDescent="0.2">
      <c r="A842" s="2"/>
      <c r="B842" s="3"/>
      <c r="C842" s="3"/>
      <c r="D842" s="3"/>
      <c r="E842" s="4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4.25" customHeight="1" x14ac:dyDescent="0.2">
      <c r="A843" s="2"/>
      <c r="B843" s="3"/>
      <c r="C843" s="3"/>
      <c r="D843" s="3"/>
      <c r="E843" s="4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4.25" customHeight="1" x14ac:dyDescent="0.2">
      <c r="A844" s="2"/>
      <c r="B844" s="3"/>
      <c r="C844" s="3"/>
      <c r="D844" s="3"/>
      <c r="E844" s="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4.25" customHeight="1" x14ac:dyDescent="0.2">
      <c r="A845" s="2"/>
      <c r="B845" s="3"/>
      <c r="C845" s="3"/>
      <c r="D845" s="3"/>
      <c r="E845" s="4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4.25" customHeight="1" x14ac:dyDescent="0.2">
      <c r="A846" s="2"/>
      <c r="B846" s="3"/>
      <c r="C846" s="3"/>
      <c r="D846" s="3"/>
      <c r="E846" s="4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4.25" customHeight="1" x14ac:dyDescent="0.2">
      <c r="A847" s="2"/>
      <c r="B847" s="3"/>
      <c r="C847" s="3"/>
      <c r="D847" s="3"/>
      <c r="E847" s="4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4.25" customHeight="1" x14ac:dyDescent="0.2">
      <c r="A848" s="2"/>
      <c r="B848" s="3"/>
      <c r="C848" s="3"/>
      <c r="D848" s="3"/>
      <c r="E848" s="4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4.25" customHeight="1" x14ac:dyDescent="0.2">
      <c r="A849" s="2"/>
      <c r="B849" s="3"/>
      <c r="C849" s="3"/>
      <c r="D849" s="3"/>
      <c r="E849" s="4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4.25" customHeight="1" x14ac:dyDescent="0.2">
      <c r="A850" s="2"/>
      <c r="B850" s="3"/>
      <c r="C850" s="3"/>
      <c r="D850" s="3"/>
      <c r="E850" s="4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4.25" customHeight="1" x14ac:dyDescent="0.2">
      <c r="A851" s="2"/>
      <c r="B851" s="3"/>
      <c r="C851" s="3"/>
      <c r="D851" s="3"/>
      <c r="E851" s="4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4.25" customHeight="1" x14ac:dyDescent="0.2">
      <c r="A852" s="2"/>
      <c r="B852" s="3"/>
      <c r="C852" s="3"/>
      <c r="D852" s="3"/>
      <c r="E852" s="4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4.25" customHeight="1" x14ac:dyDescent="0.2">
      <c r="A853" s="2"/>
      <c r="B853" s="3"/>
      <c r="C853" s="3"/>
      <c r="D853" s="3"/>
      <c r="E853" s="4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4.25" customHeight="1" x14ac:dyDescent="0.2">
      <c r="A854" s="2"/>
      <c r="B854" s="3"/>
      <c r="C854" s="3"/>
      <c r="D854" s="3"/>
      <c r="E854" s="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4.25" customHeight="1" x14ac:dyDescent="0.2">
      <c r="A855" s="2"/>
      <c r="B855" s="3"/>
      <c r="C855" s="3"/>
      <c r="D855" s="3"/>
      <c r="E855" s="4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4.25" customHeight="1" x14ac:dyDescent="0.2">
      <c r="A856" s="2"/>
      <c r="B856" s="3"/>
      <c r="C856" s="3"/>
      <c r="D856" s="3"/>
      <c r="E856" s="4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4.25" customHeight="1" x14ac:dyDescent="0.2">
      <c r="A857" s="2"/>
      <c r="B857" s="3"/>
      <c r="C857" s="3"/>
      <c r="D857" s="3"/>
      <c r="E857" s="4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4.25" customHeight="1" x14ac:dyDescent="0.2">
      <c r="A858" s="2"/>
      <c r="B858" s="3"/>
      <c r="C858" s="3"/>
      <c r="D858" s="3"/>
      <c r="E858" s="4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4.25" customHeight="1" x14ac:dyDescent="0.2">
      <c r="A859" s="2"/>
      <c r="B859" s="3"/>
      <c r="C859" s="3"/>
      <c r="D859" s="3"/>
      <c r="E859" s="4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4.25" customHeight="1" x14ac:dyDescent="0.2">
      <c r="A860" s="2"/>
      <c r="B860" s="3"/>
      <c r="C860" s="3"/>
      <c r="D860" s="3"/>
      <c r="E860" s="4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4.25" customHeight="1" x14ac:dyDescent="0.2">
      <c r="A861" s="2"/>
      <c r="B861" s="3"/>
      <c r="C861" s="3"/>
      <c r="D861" s="3"/>
      <c r="E861" s="4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4.25" customHeight="1" x14ac:dyDescent="0.2">
      <c r="A862" s="2"/>
      <c r="B862" s="3"/>
      <c r="C862" s="3"/>
      <c r="D862" s="3"/>
      <c r="E862" s="4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4.25" customHeight="1" x14ac:dyDescent="0.2">
      <c r="A863" s="2"/>
      <c r="B863" s="3"/>
      <c r="C863" s="3"/>
      <c r="D863" s="3"/>
      <c r="E863" s="4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4.25" customHeight="1" x14ac:dyDescent="0.2">
      <c r="A864" s="2"/>
      <c r="B864" s="3"/>
      <c r="C864" s="3"/>
      <c r="D864" s="3"/>
      <c r="E864" s="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4.25" customHeight="1" x14ac:dyDescent="0.2">
      <c r="A865" s="2"/>
      <c r="B865" s="3"/>
      <c r="C865" s="3"/>
      <c r="D865" s="3"/>
      <c r="E865" s="4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4.25" customHeight="1" x14ac:dyDescent="0.2">
      <c r="A866" s="2"/>
      <c r="B866" s="3"/>
      <c r="C866" s="3"/>
      <c r="D866" s="3"/>
      <c r="E866" s="4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4.25" customHeight="1" x14ac:dyDescent="0.2">
      <c r="A867" s="2"/>
      <c r="B867" s="3"/>
      <c r="C867" s="3"/>
      <c r="D867" s="3"/>
      <c r="E867" s="4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4.25" customHeight="1" x14ac:dyDescent="0.2">
      <c r="A868" s="2"/>
      <c r="B868" s="3"/>
      <c r="C868" s="3"/>
      <c r="D868" s="3"/>
      <c r="E868" s="4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4.25" customHeight="1" x14ac:dyDescent="0.2">
      <c r="A869" s="2"/>
      <c r="B869" s="3"/>
      <c r="C869" s="3"/>
      <c r="D869" s="3"/>
      <c r="E869" s="4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4.25" customHeight="1" x14ac:dyDescent="0.2">
      <c r="A870" s="2"/>
      <c r="B870" s="3"/>
      <c r="C870" s="3"/>
      <c r="D870" s="3"/>
      <c r="E870" s="4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4.25" customHeight="1" x14ac:dyDescent="0.2">
      <c r="A871" s="2"/>
      <c r="B871" s="3"/>
      <c r="C871" s="3"/>
      <c r="D871" s="3"/>
      <c r="E871" s="4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4.25" customHeight="1" x14ac:dyDescent="0.2">
      <c r="A872" s="2"/>
      <c r="B872" s="3"/>
      <c r="C872" s="3"/>
      <c r="D872" s="3"/>
      <c r="E872" s="4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4.25" customHeight="1" x14ac:dyDescent="0.2">
      <c r="A873" s="2"/>
      <c r="B873" s="3"/>
      <c r="C873" s="3"/>
      <c r="D873" s="3"/>
      <c r="E873" s="4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4.25" customHeight="1" x14ac:dyDescent="0.2">
      <c r="A874" s="2"/>
      <c r="B874" s="3"/>
      <c r="C874" s="3"/>
      <c r="D874" s="3"/>
      <c r="E874" s="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4.25" customHeight="1" x14ac:dyDescent="0.2">
      <c r="A875" s="2"/>
      <c r="B875" s="3"/>
      <c r="C875" s="3"/>
      <c r="D875" s="3"/>
      <c r="E875" s="4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4.25" customHeight="1" x14ac:dyDescent="0.2">
      <c r="A876" s="2"/>
      <c r="B876" s="3"/>
      <c r="C876" s="3"/>
      <c r="D876" s="3"/>
      <c r="E876" s="4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4.25" customHeight="1" x14ac:dyDescent="0.2">
      <c r="A877" s="2"/>
      <c r="B877" s="3"/>
      <c r="C877" s="3"/>
      <c r="D877" s="3"/>
      <c r="E877" s="4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4.25" customHeight="1" x14ac:dyDescent="0.2">
      <c r="A878" s="2"/>
      <c r="B878" s="3"/>
      <c r="C878" s="3"/>
      <c r="D878" s="3"/>
      <c r="E878" s="4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4.25" customHeight="1" x14ac:dyDescent="0.2">
      <c r="A879" s="2"/>
      <c r="B879" s="3"/>
      <c r="C879" s="3"/>
      <c r="D879" s="3"/>
      <c r="E879" s="4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4.25" customHeight="1" x14ac:dyDescent="0.2">
      <c r="A880" s="2"/>
      <c r="B880" s="3"/>
      <c r="C880" s="3"/>
      <c r="D880" s="3"/>
      <c r="E880" s="4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4.25" customHeight="1" x14ac:dyDescent="0.2">
      <c r="A881" s="2"/>
      <c r="B881" s="3"/>
      <c r="C881" s="3"/>
      <c r="D881" s="3"/>
      <c r="E881" s="4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4.25" customHeight="1" x14ac:dyDescent="0.2">
      <c r="A882" s="2"/>
      <c r="B882" s="3"/>
      <c r="C882" s="3"/>
      <c r="D882" s="3"/>
      <c r="E882" s="4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4.25" customHeight="1" x14ac:dyDescent="0.2">
      <c r="A883" s="2"/>
      <c r="B883" s="3"/>
      <c r="C883" s="3"/>
      <c r="D883" s="3"/>
      <c r="E883" s="4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4.25" customHeight="1" x14ac:dyDescent="0.2">
      <c r="A884" s="2"/>
      <c r="B884" s="3"/>
      <c r="C884" s="3"/>
      <c r="D884" s="3"/>
      <c r="E884" s="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4.25" customHeight="1" x14ac:dyDescent="0.2">
      <c r="A885" s="2"/>
      <c r="B885" s="3"/>
      <c r="C885" s="3"/>
      <c r="D885" s="3"/>
      <c r="E885" s="4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4.25" customHeight="1" x14ac:dyDescent="0.2">
      <c r="A886" s="2"/>
      <c r="B886" s="3"/>
      <c r="C886" s="3"/>
      <c r="D886" s="3"/>
      <c r="E886" s="4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4.25" customHeight="1" x14ac:dyDescent="0.2">
      <c r="A887" s="2"/>
      <c r="B887" s="3"/>
      <c r="C887" s="3"/>
      <c r="D887" s="3"/>
      <c r="E887" s="4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4.25" customHeight="1" x14ac:dyDescent="0.2">
      <c r="A888" s="2"/>
      <c r="B888" s="3"/>
      <c r="C888" s="3"/>
      <c r="D888" s="3"/>
      <c r="E888" s="4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4.25" customHeight="1" x14ac:dyDescent="0.2">
      <c r="A889" s="2"/>
      <c r="B889" s="3"/>
      <c r="C889" s="3"/>
      <c r="D889" s="3"/>
      <c r="E889" s="4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4.25" customHeight="1" x14ac:dyDescent="0.2">
      <c r="A890" s="2"/>
      <c r="B890" s="3"/>
      <c r="C890" s="3"/>
      <c r="D890" s="3"/>
      <c r="E890" s="4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4.25" customHeight="1" x14ac:dyDescent="0.2">
      <c r="A891" s="2"/>
      <c r="B891" s="3"/>
      <c r="C891" s="3"/>
      <c r="D891" s="3"/>
      <c r="E891" s="4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4.25" customHeight="1" x14ac:dyDescent="0.2">
      <c r="A892" s="2"/>
      <c r="B892" s="3"/>
      <c r="C892" s="3"/>
      <c r="D892" s="3"/>
      <c r="E892" s="4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4.25" customHeight="1" x14ac:dyDescent="0.2">
      <c r="A893" s="2"/>
      <c r="B893" s="3"/>
      <c r="C893" s="3"/>
      <c r="D893" s="3"/>
      <c r="E893" s="4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4.25" customHeight="1" x14ac:dyDescent="0.2">
      <c r="A894" s="2"/>
      <c r="B894" s="3"/>
      <c r="C894" s="3"/>
      <c r="D894" s="3"/>
      <c r="E894" s="4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4.25" customHeight="1" x14ac:dyDescent="0.2">
      <c r="A895" s="2"/>
      <c r="B895" s="3"/>
      <c r="C895" s="3"/>
      <c r="D895" s="3"/>
      <c r="E895" s="4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4.25" customHeight="1" x14ac:dyDescent="0.2">
      <c r="A896" s="2"/>
      <c r="B896" s="3"/>
      <c r="C896" s="3"/>
      <c r="D896" s="3"/>
      <c r="E896" s="4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4.25" customHeight="1" x14ac:dyDescent="0.2">
      <c r="A897" s="2"/>
      <c r="B897" s="3"/>
      <c r="C897" s="3"/>
      <c r="D897" s="3"/>
      <c r="E897" s="4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4.25" customHeight="1" x14ac:dyDescent="0.2">
      <c r="A898" s="2"/>
      <c r="B898" s="3"/>
      <c r="C898" s="3"/>
      <c r="D898" s="3"/>
      <c r="E898" s="4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4.25" customHeight="1" x14ac:dyDescent="0.2">
      <c r="A899" s="2"/>
      <c r="B899" s="3"/>
      <c r="C899" s="3"/>
      <c r="D899" s="3"/>
      <c r="E899" s="4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4.25" customHeight="1" x14ac:dyDescent="0.2">
      <c r="A900" s="2"/>
      <c r="B900" s="3"/>
      <c r="C900" s="3"/>
      <c r="D900" s="3"/>
      <c r="E900" s="4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4.25" customHeight="1" x14ac:dyDescent="0.2">
      <c r="A901" s="2"/>
      <c r="B901" s="3"/>
      <c r="C901" s="3"/>
      <c r="D901" s="3"/>
      <c r="E901" s="4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4.25" customHeight="1" x14ac:dyDescent="0.2">
      <c r="A902" s="2"/>
      <c r="B902" s="3"/>
      <c r="C902" s="3"/>
      <c r="D902" s="3"/>
      <c r="E902" s="4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4.25" customHeight="1" x14ac:dyDescent="0.2">
      <c r="A903" s="2"/>
      <c r="B903" s="3"/>
      <c r="C903" s="3"/>
      <c r="D903" s="3"/>
      <c r="E903" s="4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4.25" customHeight="1" x14ac:dyDescent="0.2">
      <c r="A904" s="2"/>
      <c r="B904" s="3"/>
      <c r="C904" s="3"/>
      <c r="D904" s="3"/>
      <c r="E904" s="4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4.25" customHeight="1" x14ac:dyDescent="0.2">
      <c r="A905" s="2"/>
      <c r="B905" s="3"/>
      <c r="C905" s="3"/>
      <c r="D905" s="3"/>
      <c r="E905" s="4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4.25" customHeight="1" x14ac:dyDescent="0.2">
      <c r="A906" s="2"/>
      <c r="B906" s="3"/>
      <c r="C906" s="3"/>
      <c r="D906" s="3"/>
      <c r="E906" s="4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4.25" customHeight="1" x14ac:dyDescent="0.2">
      <c r="A907" s="2"/>
      <c r="B907" s="3"/>
      <c r="C907" s="3"/>
      <c r="D907" s="3"/>
      <c r="E907" s="4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4.25" customHeight="1" x14ac:dyDescent="0.2">
      <c r="A908" s="2"/>
      <c r="B908" s="3"/>
      <c r="C908" s="3"/>
      <c r="D908" s="3"/>
      <c r="E908" s="4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4.25" customHeight="1" x14ac:dyDescent="0.2">
      <c r="A909" s="2"/>
      <c r="B909" s="3"/>
      <c r="C909" s="3"/>
      <c r="D909" s="3"/>
      <c r="E909" s="4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4.25" customHeight="1" x14ac:dyDescent="0.2">
      <c r="A910" s="2"/>
      <c r="B910" s="3"/>
      <c r="C910" s="3"/>
      <c r="D910" s="3"/>
      <c r="E910" s="4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4.25" customHeight="1" x14ac:dyDescent="0.2">
      <c r="A911" s="2"/>
      <c r="B911" s="3"/>
      <c r="C911" s="3"/>
      <c r="D911" s="3"/>
      <c r="E911" s="4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4.25" customHeight="1" x14ac:dyDescent="0.2">
      <c r="A912" s="2"/>
      <c r="B912" s="3"/>
      <c r="C912" s="3"/>
      <c r="D912" s="3"/>
      <c r="E912" s="4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4.25" customHeight="1" x14ac:dyDescent="0.2">
      <c r="A913" s="2"/>
      <c r="B913" s="3"/>
      <c r="C913" s="3"/>
      <c r="D913" s="3"/>
      <c r="E913" s="4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4.25" customHeight="1" x14ac:dyDescent="0.2">
      <c r="A914" s="2"/>
      <c r="B914" s="3"/>
      <c r="C914" s="3"/>
      <c r="D914" s="3"/>
      <c r="E914" s="4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4.25" customHeight="1" x14ac:dyDescent="0.2">
      <c r="A915" s="2"/>
      <c r="B915" s="3"/>
      <c r="C915" s="3"/>
      <c r="D915" s="3"/>
      <c r="E915" s="4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4.25" customHeight="1" x14ac:dyDescent="0.2">
      <c r="A916" s="2"/>
      <c r="B916" s="3"/>
      <c r="C916" s="3"/>
      <c r="D916" s="3"/>
      <c r="E916" s="4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4.25" customHeight="1" x14ac:dyDescent="0.2">
      <c r="A917" s="2"/>
      <c r="B917" s="3"/>
      <c r="C917" s="3"/>
      <c r="D917" s="3"/>
      <c r="E917" s="4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4.25" customHeight="1" x14ac:dyDescent="0.2">
      <c r="A918" s="2"/>
      <c r="B918" s="3"/>
      <c r="C918" s="3"/>
      <c r="D918" s="3"/>
      <c r="E918" s="4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4.25" customHeight="1" x14ac:dyDescent="0.2">
      <c r="A919" s="2"/>
      <c r="B919" s="3"/>
      <c r="C919" s="3"/>
      <c r="D919" s="3"/>
      <c r="E919" s="4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4.25" customHeight="1" x14ac:dyDescent="0.2">
      <c r="A920" s="2"/>
      <c r="B920" s="3"/>
      <c r="C920" s="3"/>
      <c r="D920" s="3"/>
      <c r="E920" s="4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4.25" customHeight="1" x14ac:dyDescent="0.2">
      <c r="A921" s="2"/>
      <c r="B921" s="3"/>
      <c r="C921" s="3"/>
      <c r="D921" s="3"/>
      <c r="E921" s="4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4.25" customHeight="1" x14ac:dyDescent="0.2">
      <c r="A922" s="2"/>
      <c r="B922" s="3"/>
      <c r="C922" s="3"/>
      <c r="D922" s="3"/>
      <c r="E922" s="4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4.25" customHeight="1" x14ac:dyDescent="0.2">
      <c r="A923" s="2"/>
      <c r="B923" s="3"/>
      <c r="C923" s="3"/>
      <c r="D923" s="3"/>
      <c r="E923" s="4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4.25" customHeight="1" x14ac:dyDescent="0.2">
      <c r="A924" s="2"/>
      <c r="B924" s="3"/>
      <c r="C924" s="3"/>
      <c r="D924" s="3"/>
      <c r="E924" s="4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4.25" customHeight="1" x14ac:dyDescent="0.2">
      <c r="A925" s="2"/>
      <c r="B925" s="3"/>
      <c r="C925" s="3"/>
      <c r="D925" s="3"/>
      <c r="E925" s="4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4.25" customHeight="1" x14ac:dyDescent="0.2">
      <c r="A926" s="2"/>
      <c r="B926" s="3"/>
      <c r="C926" s="3"/>
      <c r="D926" s="3"/>
      <c r="E926" s="4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4.25" customHeight="1" x14ac:dyDescent="0.2">
      <c r="A927" s="2"/>
      <c r="B927" s="3"/>
      <c r="C927" s="3"/>
      <c r="D927" s="3"/>
      <c r="E927" s="4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4.25" customHeight="1" x14ac:dyDescent="0.2">
      <c r="A928" s="2"/>
      <c r="B928" s="3"/>
      <c r="C928" s="3"/>
      <c r="D928" s="3"/>
      <c r="E928" s="4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4.25" customHeight="1" x14ac:dyDescent="0.2">
      <c r="A929" s="2"/>
      <c r="B929" s="3"/>
      <c r="C929" s="3"/>
      <c r="D929" s="3"/>
      <c r="E929" s="4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4.25" customHeight="1" x14ac:dyDescent="0.2">
      <c r="A930" s="2"/>
      <c r="B930" s="3"/>
      <c r="C930" s="3"/>
      <c r="D930" s="3"/>
      <c r="E930" s="4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4.25" customHeight="1" x14ac:dyDescent="0.2">
      <c r="A931" s="2"/>
      <c r="B931" s="3"/>
      <c r="C931" s="3"/>
      <c r="D931" s="3"/>
      <c r="E931" s="4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4.25" customHeight="1" x14ac:dyDescent="0.2">
      <c r="A932" s="2"/>
      <c r="B932" s="3"/>
      <c r="C932" s="3"/>
      <c r="D932" s="3"/>
      <c r="E932" s="4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4.25" customHeight="1" x14ac:dyDescent="0.2">
      <c r="A933" s="2"/>
      <c r="B933" s="3"/>
      <c r="C933" s="3"/>
      <c r="D933" s="3"/>
      <c r="E933" s="4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4.25" customHeight="1" x14ac:dyDescent="0.2">
      <c r="A934" s="2"/>
      <c r="B934" s="3"/>
      <c r="C934" s="3"/>
      <c r="D934" s="3"/>
      <c r="E934" s="4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4.25" customHeight="1" x14ac:dyDescent="0.2">
      <c r="A935" s="2"/>
      <c r="B935" s="3"/>
      <c r="C935" s="3"/>
      <c r="D935" s="3"/>
      <c r="E935" s="4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4.25" customHeight="1" x14ac:dyDescent="0.2">
      <c r="A936" s="2"/>
      <c r="B936" s="3"/>
      <c r="C936" s="3"/>
      <c r="D936" s="3"/>
      <c r="E936" s="4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4.25" customHeight="1" x14ac:dyDescent="0.2">
      <c r="A937" s="2"/>
      <c r="B937" s="3"/>
      <c r="C937" s="3"/>
      <c r="D937" s="3"/>
      <c r="E937" s="4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4.25" customHeight="1" x14ac:dyDescent="0.2">
      <c r="A938" s="2"/>
      <c r="B938" s="3"/>
      <c r="C938" s="3"/>
      <c r="D938" s="3"/>
      <c r="E938" s="4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4.25" customHeight="1" x14ac:dyDescent="0.2">
      <c r="A939" s="2"/>
      <c r="B939" s="3"/>
      <c r="C939" s="3"/>
      <c r="D939" s="3"/>
      <c r="E939" s="4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4.25" customHeight="1" x14ac:dyDescent="0.2">
      <c r="A940" s="2"/>
      <c r="B940" s="3"/>
      <c r="C940" s="3"/>
      <c r="D940" s="3"/>
      <c r="E940" s="4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4.25" customHeight="1" x14ac:dyDescent="0.2">
      <c r="A941" s="2"/>
      <c r="B941" s="3"/>
      <c r="C941" s="3"/>
      <c r="D941" s="3"/>
      <c r="E941" s="4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4.25" customHeight="1" x14ac:dyDescent="0.2">
      <c r="A942" s="2"/>
      <c r="B942" s="3"/>
      <c r="C942" s="3"/>
      <c r="D942" s="3"/>
      <c r="E942" s="4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4.25" customHeight="1" x14ac:dyDescent="0.2">
      <c r="A943" s="2"/>
      <c r="B943" s="3"/>
      <c r="C943" s="3"/>
      <c r="D943" s="3"/>
      <c r="E943" s="4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4.25" customHeight="1" x14ac:dyDescent="0.2">
      <c r="A944" s="2"/>
      <c r="B944" s="3"/>
      <c r="C944" s="3"/>
      <c r="D944" s="3"/>
      <c r="E944" s="4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4.25" customHeight="1" x14ac:dyDescent="0.2">
      <c r="A945" s="2"/>
      <c r="B945" s="3"/>
      <c r="C945" s="3"/>
      <c r="D945" s="3"/>
      <c r="E945" s="4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4.25" customHeight="1" x14ac:dyDescent="0.2">
      <c r="A946" s="2"/>
      <c r="B946" s="3"/>
      <c r="C946" s="3"/>
      <c r="D946" s="3"/>
      <c r="E946" s="4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4.25" customHeight="1" x14ac:dyDescent="0.2">
      <c r="A947" s="2"/>
      <c r="B947" s="3"/>
      <c r="C947" s="3"/>
      <c r="D947" s="3"/>
      <c r="E947" s="4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4.25" customHeight="1" x14ac:dyDescent="0.2">
      <c r="A948" s="2"/>
      <c r="B948" s="3"/>
      <c r="C948" s="3"/>
      <c r="D948" s="3"/>
      <c r="E948" s="4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4.25" customHeight="1" x14ac:dyDescent="0.2">
      <c r="A949" s="2"/>
      <c r="B949" s="3"/>
      <c r="C949" s="3"/>
      <c r="D949" s="3"/>
      <c r="E949" s="4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4.25" customHeight="1" x14ac:dyDescent="0.2">
      <c r="A950" s="2"/>
      <c r="B950" s="3"/>
      <c r="C950" s="3"/>
      <c r="D950" s="3"/>
      <c r="E950" s="4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4.25" customHeight="1" x14ac:dyDescent="0.2">
      <c r="A951" s="2"/>
      <c r="B951" s="3"/>
      <c r="C951" s="3"/>
      <c r="D951" s="3"/>
      <c r="E951" s="4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4.25" customHeight="1" x14ac:dyDescent="0.2">
      <c r="A952" s="2"/>
      <c r="B952" s="3"/>
      <c r="C952" s="3"/>
      <c r="D952" s="3"/>
      <c r="E952" s="4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4.25" customHeight="1" x14ac:dyDescent="0.2">
      <c r="A953" s="2"/>
      <c r="B953" s="3"/>
      <c r="C953" s="3"/>
      <c r="D953" s="3"/>
      <c r="E953" s="4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4.25" customHeight="1" x14ac:dyDescent="0.2">
      <c r="A954" s="2"/>
      <c r="B954" s="3"/>
      <c r="C954" s="3"/>
      <c r="D954" s="3"/>
      <c r="E954" s="4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4.25" customHeight="1" x14ac:dyDescent="0.2">
      <c r="A955" s="2"/>
      <c r="B955" s="3"/>
      <c r="C955" s="3"/>
      <c r="D955" s="3"/>
      <c r="E955" s="4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4.25" customHeight="1" x14ac:dyDescent="0.2">
      <c r="A956" s="2"/>
      <c r="B956" s="3"/>
      <c r="C956" s="3"/>
      <c r="D956" s="3"/>
      <c r="E956" s="4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4.25" customHeight="1" x14ac:dyDescent="0.2">
      <c r="A957" s="2"/>
      <c r="B957" s="3"/>
      <c r="C957" s="3"/>
      <c r="D957" s="3"/>
      <c r="E957" s="4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4.25" customHeight="1" x14ac:dyDescent="0.2">
      <c r="A958" s="2"/>
      <c r="B958" s="3"/>
      <c r="C958" s="3"/>
      <c r="D958" s="3"/>
      <c r="E958" s="4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4.25" customHeight="1" x14ac:dyDescent="0.2">
      <c r="A959" s="2"/>
      <c r="B959" s="3"/>
      <c r="C959" s="3"/>
      <c r="D959" s="3"/>
      <c r="E959" s="4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4.25" customHeight="1" x14ac:dyDescent="0.2">
      <c r="A960" s="2"/>
      <c r="B960" s="3"/>
      <c r="C960" s="3"/>
      <c r="D960" s="3"/>
      <c r="E960" s="4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4.25" customHeight="1" x14ac:dyDescent="0.2">
      <c r="A961" s="2"/>
      <c r="B961" s="3"/>
      <c r="C961" s="3"/>
      <c r="D961" s="3"/>
      <c r="E961" s="4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4.25" customHeight="1" x14ac:dyDescent="0.2">
      <c r="A962" s="2"/>
      <c r="B962" s="3"/>
      <c r="C962" s="3"/>
      <c r="D962" s="3"/>
      <c r="E962" s="4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4.25" customHeight="1" x14ac:dyDescent="0.2">
      <c r="A963" s="2"/>
      <c r="B963" s="3"/>
      <c r="C963" s="3"/>
      <c r="D963" s="3"/>
      <c r="E963" s="4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4.25" customHeight="1" x14ac:dyDescent="0.2">
      <c r="A964" s="2"/>
      <c r="B964" s="3"/>
      <c r="C964" s="3"/>
      <c r="D964" s="3"/>
      <c r="E964" s="4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4.25" customHeight="1" x14ac:dyDescent="0.2">
      <c r="A965" s="2"/>
      <c r="B965" s="3"/>
      <c r="C965" s="3"/>
      <c r="D965" s="3"/>
      <c r="E965" s="4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4.25" customHeight="1" x14ac:dyDescent="0.2">
      <c r="A966" s="2"/>
      <c r="B966" s="3"/>
      <c r="C966" s="3"/>
      <c r="D966" s="3"/>
      <c r="E966" s="4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4.25" customHeight="1" x14ac:dyDescent="0.2">
      <c r="A967" s="2"/>
      <c r="B967" s="3"/>
      <c r="C967" s="3"/>
      <c r="D967" s="3"/>
      <c r="E967" s="4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4.25" customHeight="1" x14ac:dyDescent="0.2">
      <c r="A968" s="2"/>
      <c r="B968" s="3"/>
      <c r="C968" s="3"/>
      <c r="D968" s="3"/>
      <c r="E968" s="4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4.25" customHeight="1" x14ac:dyDescent="0.2">
      <c r="A969" s="2"/>
      <c r="B969" s="3"/>
      <c r="C969" s="3"/>
      <c r="D969" s="3"/>
      <c r="E969" s="4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4.25" customHeight="1" x14ac:dyDescent="0.2">
      <c r="A970" s="2"/>
      <c r="B970" s="3"/>
      <c r="C970" s="3"/>
      <c r="D970" s="3"/>
      <c r="E970" s="4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4.25" customHeight="1" x14ac:dyDescent="0.2">
      <c r="A971" s="2"/>
      <c r="B971" s="3"/>
      <c r="C971" s="3"/>
      <c r="D971" s="3"/>
      <c r="E971" s="4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4.25" customHeight="1" x14ac:dyDescent="0.2">
      <c r="A972" s="2"/>
      <c r="B972" s="3"/>
      <c r="C972" s="3"/>
      <c r="D972" s="3"/>
      <c r="E972" s="4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4.25" customHeight="1" x14ac:dyDescent="0.2">
      <c r="A973" s="2"/>
      <c r="B973" s="3"/>
      <c r="C973" s="3"/>
      <c r="D973" s="3"/>
      <c r="E973" s="4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4.25" customHeight="1" x14ac:dyDescent="0.2">
      <c r="A974" s="2"/>
      <c r="B974" s="3"/>
      <c r="C974" s="3"/>
      <c r="D974" s="3"/>
      <c r="E974" s="4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4.25" customHeight="1" x14ac:dyDescent="0.2">
      <c r="A975" s="2"/>
      <c r="B975" s="3"/>
      <c r="C975" s="3"/>
      <c r="D975" s="3"/>
      <c r="E975" s="4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4.25" customHeight="1" x14ac:dyDescent="0.2">
      <c r="A976" s="2"/>
      <c r="B976" s="3"/>
      <c r="C976" s="3"/>
      <c r="D976" s="3"/>
      <c r="E976" s="4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4.25" customHeight="1" x14ac:dyDescent="0.2">
      <c r="A977" s="2"/>
      <c r="B977" s="3"/>
      <c r="C977" s="3"/>
      <c r="D977" s="3"/>
      <c r="E977" s="4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4.25" customHeight="1" x14ac:dyDescent="0.2">
      <c r="A978" s="2"/>
      <c r="B978" s="3"/>
      <c r="C978" s="3"/>
      <c r="D978" s="3"/>
      <c r="E978" s="4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4.25" customHeight="1" x14ac:dyDescent="0.2">
      <c r="A979" s="2"/>
      <c r="B979" s="3"/>
      <c r="C979" s="3"/>
      <c r="D979" s="3"/>
      <c r="E979" s="4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4.25" customHeight="1" x14ac:dyDescent="0.2">
      <c r="A980" s="2"/>
      <c r="B980" s="3"/>
      <c r="C980" s="3"/>
      <c r="D980" s="3"/>
      <c r="E980" s="4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4.25" customHeight="1" x14ac:dyDescent="0.2">
      <c r="A981" s="2"/>
      <c r="B981" s="3"/>
      <c r="C981" s="3"/>
      <c r="D981" s="3"/>
      <c r="E981" s="4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4.25" customHeight="1" x14ac:dyDescent="0.2">
      <c r="A982" s="2"/>
      <c r="B982" s="3"/>
      <c r="C982" s="3"/>
      <c r="D982" s="3"/>
      <c r="E982" s="4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4.25" customHeight="1" x14ac:dyDescent="0.2">
      <c r="A983" s="2"/>
      <c r="B983" s="3"/>
      <c r="C983" s="3"/>
      <c r="D983" s="3"/>
      <c r="E983" s="4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4.25" customHeight="1" x14ac:dyDescent="0.2">
      <c r="A984" s="2"/>
      <c r="B984" s="3"/>
      <c r="C984" s="3"/>
      <c r="D984" s="3"/>
      <c r="E984" s="4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4.25" customHeight="1" x14ac:dyDescent="0.2">
      <c r="A985" s="2"/>
      <c r="B985" s="3"/>
      <c r="C985" s="3"/>
      <c r="D985" s="3"/>
      <c r="E985" s="4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4.25" customHeight="1" x14ac:dyDescent="0.2">
      <c r="A986" s="2"/>
      <c r="B986" s="3"/>
      <c r="C986" s="3"/>
      <c r="D986" s="3"/>
      <c r="E986" s="4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4.25" customHeight="1" x14ac:dyDescent="0.2">
      <c r="A987" s="2"/>
      <c r="B987" s="3"/>
      <c r="C987" s="3"/>
      <c r="D987" s="3"/>
      <c r="E987" s="4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4.25" customHeight="1" x14ac:dyDescent="0.2">
      <c r="A988" s="2"/>
      <c r="B988" s="3"/>
      <c r="C988" s="3"/>
      <c r="D988" s="3"/>
      <c r="E988" s="4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4.25" customHeight="1" x14ac:dyDescent="0.2">
      <c r="A989" s="2"/>
      <c r="B989" s="3"/>
      <c r="C989" s="3"/>
      <c r="D989" s="3"/>
      <c r="E989" s="4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14.25" customHeight="1" x14ac:dyDescent="0.2">
      <c r="A990" s="2"/>
      <c r="B990" s="3"/>
      <c r="C990" s="3"/>
      <c r="D990" s="3"/>
      <c r="E990" s="4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14.25" customHeight="1" x14ac:dyDescent="0.2">
      <c r="A991" s="2"/>
      <c r="B991" s="3"/>
      <c r="C991" s="3"/>
      <c r="D991" s="3"/>
      <c r="E991" s="4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14.25" customHeight="1" x14ac:dyDescent="0.2">
      <c r="A992" s="2"/>
      <c r="B992" s="3"/>
      <c r="C992" s="3"/>
      <c r="D992" s="3"/>
      <c r="E992" s="4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14.25" customHeight="1" x14ac:dyDescent="0.2">
      <c r="A993" s="2"/>
      <c r="B993" s="3"/>
      <c r="C993" s="3"/>
      <c r="D993" s="3"/>
      <c r="E993" s="4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14.25" customHeight="1" x14ac:dyDescent="0.2">
      <c r="A994" s="2"/>
      <c r="B994" s="3"/>
      <c r="C994" s="3"/>
      <c r="D994" s="3"/>
      <c r="E994" s="4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14.25" customHeight="1" x14ac:dyDescent="0.2">
      <c r="A995" s="2"/>
      <c r="B995" s="3"/>
      <c r="C995" s="3"/>
      <c r="D995" s="3"/>
      <c r="E995" s="4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14.25" customHeight="1" x14ac:dyDescent="0.2">
      <c r="A996" s="2"/>
      <c r="B996" s="3"/>
      <c r="C996" s="3"/>
      <c r="D996" s="3"/>
      <c r="E996" s="4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14.25" customHeight="1" x14ac:dyDescent="0.2">
      <c r="A997" s="2"/>
      <c r="B997" s="3"/>
      <c r="C997" s="3"/>
      <c r="D997" s="3"/>
      <c r="E997" s="4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14.25" customHeight="1" x14ac:dyDescent="0.2">
      <c r="A998" s="2"/>
      <c r="B998" s="3"/>
      <c r="C998" s="3"/>
      <c r="D998" s="3"/>
      <c r="E998" s="4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14.25" customHeight="1" x14ac:dyDescent="0.2">
      <c r="A999" s="2"/>
      <c r="B999" s="3"/>
      <c r="C999" s="3"/>
      <c r="D999" s="3"/>
      <c r="E999" s="4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14.25" customHeight="1" x14ac:dyDescent="0.2">
      <c r="A1000" s="2"/>
      <c r="B1000" s="3"/>
      <c r="C1000" s="3"/>
      <c r="D1000" s="3"/>
      <c r="E1000" s="4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  <row r="1001" spans="1:29" ht="14.25" customHeight="1" x14ac:dyDescent="0.2">
      <c r="A1001" s="2"/>
      <c r="B1001" s="3"/>
      <c r="C1001" s="3"/>
      <c r="D1001" s="3"/>
      <c r="E1001" s="4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</row>
    <row r="1002" spans="1:29" ht="14.25" customHeight="1" x14ac:dyDescent="0.2">
      <c r="A1002" s="2"/>
      <c r="B1002" s="3"/>
      <c r="C1002" s="3"/>
      <c r="D1002" s="3"/>
      <c r="E1002" s="4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</row>
    <row r="1003" spans="1:29" ht="14.25" customHeight="1" x14ac:dyDescent="0.2">
      <c r="A1003" s="2"/>
      <c r="B1003" s="3"/>
      <c r="C1003" s="3"/>
      <c r="D1003" s="3"/>
      <c r="E1003" s="4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</row>
    <row r="1004" spans="1:29" ht="14.25" customHeight="1" x14ac:dyDescent="0.2">
      <c r="A1004" s="2"/>
      <c r="B1004" s="3"/>
      <c r="C1004" s="3"/>
      <c r="D1004" s="3"/>
      <c r="E1004" s="4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</row>
    <row r="1005" spans="1:29" ht="14.25" customHeight="1" x14ac:dyDescent="0.2">
      <c r="A1005" s="2"/>
      <c r="B1005" s="3"/>
      <c r="C1005" s="3"/>
      <c r="D1005" s="3"/>
      <c r="E1005" s="4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</row>
    <row r="1006" spans="1:29" ht="14.25" customHeight="1" x14ac:dyDescent="0.2">
      <c r="A1006" s="2"/>
      <c r="B1006" s="3"/>
      <c r="C1006" s="3"/>
      <c r="D1006" s="3"/>
      <c r="E1006" s="4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</row>
    <row r="1007" spans="1:29" ht="14.25" customHeight="1" x14ac:dyDescent="0.2">
      <c r="A1007" s="2"/>
      <c r="B1007" s="3"/>
      <c r="C1007" s="3"/>
      <c r="D1007" s="3"/>
      <c r="E1007" s="4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</row>
    <row r="1008" spans="1:29" ht="14.25" customHeight="1" x14ac:dyDescent="0.2">
      <c r="A1008" s="2"/>
      <c r="B1008" s="3"/>
      <c r="C1008" s="3"/>
      <c r="D1008" s="3"/>
      <c r="E1008" s="4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</row>
    <row r="1009" spans="1:29" ht="14.25" customHeight="1" x14ac:dyDescent="0.2">
      <c r="A1009" s="2"/>
      <c r="B1009" s="3"/>
      <c r="C1009" s="3"/>
      <c r="D1009" s="3"/>
      <c r="E1009" s="4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</row>
    <row r="1010" spans="1:29" ht="14.25" customHeight="1" x14ac:dyDescent="0.2">
      <c r="A1010" s="2"/>
      <c r="B1010" s="3"/>
      <c r="C1010" s="3"/>
      <c r="D1010" s="3"/>
      <c r="E1010" s="4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</row>
    <row r="1011" spans="1:29" ht="14.25" customHeight="1" x14ac:dyDescent="0.2">
      <c r="A1011" s="2"/>
      <c r="B1011" s="3"/>
      <c r="C1011" s="3"/>
      <c r="D1011" s="3"/>
      <c r="E1011" s="4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</row>
    <row r="1012" spans="1:29" ht="14.25" customHeight="1" x14ac:dyDescent="0.2">
      <c r="A1012" s="2"/>
      <c r="B1012" s="3"/>
      <c r="C1012" s="3"/>
      <c r="D1012" s="3"/>
      <c r="E1012" s="4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</row>
    <row r="1013" spans="1:29" ht="14.25" customHeight="1" x14ac:dyDescent="0.2">
      <c r="A1013" s="2"/>
      <c r="B1013" s="3"/>
      <c r="C1013" s="3"/>
      <c r="D1013" s="3"/>
      <c r="E1013" s="4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</row>
    <row r="1014" spans="1:29" ht="14.25" customHeight="1" x14ac:dyDescent="0.2">
      <c r="A1014" s="2"/>
      <c r="B1014" s="3"/>
      <c r="C1014" s="3"/>
      <c r="D1014" s="3"/>
      <c r="E1014" s="4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</row>
    <row r="1015" spans="1:29" ht="14.25" customHeight="1" x14ac:dyDescent="0.2">
      <c r="A1015" s="2"/>
      <c r="B1015" s="3"/>
      <c r="C1015" s="3"/>
      <c r="D1015" s="3"/>
      <c r="E1015" s="4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</row>
    <row r="1016" spans="1:29" ht="14.25" customHeight="1" x14ac:dyDescent="0.2">
      <c r="A1016" s="2"/>
      <c r="B1016" s="3"/>
      <c r="C1016" s="3"/>
      <c r="D1016" s="3"/>
      <c r="E1016" s="4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</row>
    <row r="1017" spans="1:29" ht="14.25" customHeight="1" x14ac:dyDescent="0.2">
      <c r="A1017" s="2"/>
      <c r="B1017" s="3"/>
      <c r="C1017" s="3"/>
      <c r="D1017" s="3"/>
      <c r="E1017" s="4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</row>
    <row r="1018" spans="1:29" ht="14.25" customHeight="1" x14ac:dyDescent="0.2">
      <c r="A1018" s="2"/>
      <c r="B1018" s="3"/>
      <c r="C1018" s="3"/>
      <c r="D1018" s="3"/>
      <c r="E1018" s="4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</row>
    <row r="1019" spans="1:29" ht="14.25" customHeight="1" x14ac:dyDescent="0.2">
      <c r="A1019" s="2"/>
      <c r="B1019" s="3"/>
      <c r="C1019" s="3"/>
      <c r="D1019" s="3"/>
      <c r="E1019" s="4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</row>
    <row r="1020" spans="1:29" ht="14.25" customHeight="1" x14ac:dyDescent="0.2">
      <c r="A1020" s="2"/>
      <c r="B1020" s="3"/>
      <c r="C1020" s="3"/>
      <c r="D1020" s="3"/>
      <c r="E1020" s="4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</row>
    <row r="1021" spans="1:29" ht="14.25" customHeight="1" x14ac:dyDescent="0.2">
      <c r="A1021" s="2"/>
      <c r="B1021" s="3"/>
      <c r="C1021" s="3"/>
      <c r="D1021" s="3"/>
      <c r="E1021" s="4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</row>
    <row r="1022" spans="1:29" ht="14.25" customHeight="1" x14ac:dyDescent="0.2">
      <c r="A1022" s="2"/>
      <c r="B1022" s="3"/>
      <c r="C1022" s="3"/>
      <c r="D1022" s="3"/>
      <c r="E1022" s="4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</row>
    <row r="1023" spans="1:29" ht="14.25" customHeight="1" x14ac:dyDescent="0.2">
      <c r="A1023" s="2"/>
      <c r="B1023" s="3"/>
      <c r="C1023" s="3"/>
      <c r="D1023" s="3"/>
      <c r="E1023" s="4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</row>
    <row r="1024" spans="1:29" ht="14.25" customHeight="1" x14ac:dyDescent="0.2">
      <c r="A1024" s="2"/>
      <c r="B1024" s="3"/>
      <c r="C1024" s="3"/>
      <c r="D1024" s="3"/>
      <c r="E1024" s="4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</row>
    <row r="1025" spans="1:29" ht="14.25" customHeight="1" x14ac:dyDescent="0.2">
      <c r="A1025" s="2"/>
      <c r="B1025" s="3"/>
      <c r="C1025" s="3"/>
      <c r="D1025" s="3"/>
      <c r="E1025" s="4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</row>
    <row r="1026" spans="1:29" ht="14.25" customHeight="1" x14ac:dyDescent="0.2">
      <c r="A1026" s="2"/>
      <c r="B1026" s="3"/>
      <c r="C1026" s="3"/>
      <c r="D1026" s="3"/>
      <c r="E1026" s="4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</row>
    <row r="1027" spans="1:29" ht="14.25" customHeight="1" x14ac:dyDescent="0.2">
      <c r="A1027" s="2"/>
      <c r="B1027" s="3"/>
      <c r="C1027" s="3"/>
      <c r="D1027" s="3"/>
      <c r="E1027" s="4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</row>
    <row r="1028" spans="1:29" ht="14.25" customHeight="1" x14ac:dyDescent="0.2">
      <c r="A1028" s="2"/>
      <c r="B1028" s="3"/>
      <c r="C1028" s="3"/>
      <c r="D1028" s="3"/>
      <c r="E1028" s="4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</row>
    <row r="1029" spans="1:29" ht="14.25" customHeight="1" x14ac:dyDescent="0.2">
      <c r="A1029" s="2"/>
      <c r="B1029" s="3"/>
      <c r="C1029" s="3"/>
      <c r="D1029" s="3"/>
      <c r="E1029" s="4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</row>
    <row r="1030" spans="1:29" ht="14.25" customHeight="1" x14ac:dyDescent="0.2">
      <c r="A1030" s="2"/>
      <c r="B1030" s="3"/>
      <c r="C1030" s="3"/>
      <c r="D1030" s="3"/>
      <c r="E1030" s="4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</row>
    <row r="1031" spans="1:29" ht="14.25" customHeight="1" x14ac:dyDescent="0.2">
      <c r="A1031" s="2"/>
      <c r="B1031" s="3"/>
      <c r="C1031" s="3"/>
      <c r="D1031" s="3"/>
      <c r="E1031" s="4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</row>
    <row r="1032" spans="1:29" ht="14.25" customHeight="1" x14ac:dyDescent="0.2">
      <c r="A1032" s="2"/>
      <c r="B1032" s="3"/>
      <c r="C1032" s="3"/>
      <c r="D1032" s="3"/>
      <c r="E1032" s="4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</row>
    <row r="1033" spans="1:29" ht="14.25" customHeight="1" x14ac:dyDescent="0.2">
      <c r="A1033" s="2"/>
      <c r="B1033" s="3"/>
      <c r="C1033" s="3"/>
      <c r="D1033" s="3"/>
      <c r="E1033" s="4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</row>
    <row r="1034" spans="1:29" ht="14.25" customHeight="1" x14ac:dyDescent="0.2">
      <c r="A1034" s="2"/>
      <c r="B1034" s="3"/>
      <c r="C1034" s="3"/>
      <c r="D1034" s="3"/>
      <c r="E1034" s="4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</row>
    <row r="1035" spans="1:29" ht="14.25" customHeight="1" x14ac:dyDescent="0.2">
      <c r="A1035" s="2"/>
      <c r="B1035" s="3"/>
      <c r="C1035" s="3"/>
      <c r="D1035" s="3"/>
      <c r="E1035" s="4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</row>
    <row r="1036" spans="1:29" ht="14.25" customHeight="1" x14ac:dyDescent="0.2">
      <c r="A1036" s="2"/>
      <c r="B1036" s="3"/>
      <c r="C1036" s="3"/>
      <c r="D1036" s="3"/>
      <c r="E1036" s="4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</row>
    <row r="1037" spans="1:29" ht="14.25" customHeight="1" x14ac:dyDescent="0.2">
      <c r="A1037" s="2"/>
      <c r="B1037" s="3"/>
      <c r="C1037" s="3"/>
      <c r="D1037" s="3"/>
      <c r="E1037" s="4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</row>
    <row r="1038" spans="1:29" ht="14.25" customHeight="1" x14ac:dyDescent="0.2">
      <c r="A1038" s="2"/>
      <c r="B1038" s="3"/>
      <c r="C1038" s="3"/>
      <c r="D1038" s="3"/>
      <c r="E1038" s="4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</row>
    <row r="1039" spans="1:29" ht="14.25" customHeight="1" x14ac:dyDescent="0.2">
      <c r="A1039" s="2"/>
      <c r="B1039" s="3"/>
      <c r="C1039" s="3"/>
      <c r="D1039" s="3"/>
      <c r="E1039" s="4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</row>
    <row r="1040" spans="1:29" ht="14.25" customHeight="1" x14ac:dyDescent="0.2">
      <c r="A1040" s="2"/>
      <c r="B1040" s="3"/>
      <c r="C1040" s="3"/>
      <c r="D1040" s="3"/>
      <c r="E1040" s="4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</row>
    <row r="1041" spans="1:29" ht="14.25" customHeight="1" x14ac:dyDescent="0.2">
      <c r="A1041" s="2"/>
      <c r="B1041" s="3"/>
      <c r="C1041" s="3"/>
      <c r="D1041" s="3"/>
      <c r="E1041" s="4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</row>
    <row r="1042" spans="1:29" ht="14.25" customHeight="1" x14ac:dyDescent="0.2">
      <c r="A1042" s="2"/>
      <c r="B1042" s="3"/>
      <c r="C1042" s="3"/>
      <c r="D1042" s="3"/>
      <c r="E1042" s="4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</row>
    <row r="1043" spans="1:29" ht="14.25" customHeight="1" x14ac:dyDescent="0.2">
      <c r="A1043" s="2"/>
      <c r="B1043" s="3"/>
      <c r="C1043" s="3"/>
      <c r="D1043" s="3"/>
      <c r="E1043" s="4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</row>
    <row r="1044" spans="1:29" ht="14.25" customHeight="1" x14ac:dyDescent="0.2">
      <c r="A1044" s="2"/>
      <c r="B1044" s="3"/>
      <c r="C1044" s="3"/>
      <c r="D1044" s="3"/>
      <c r="E1044" s="4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</row>
    <row r="1045" spans="1:29" ht="14.25" customHeight="1" x14ac:dyDescent="0.2">
      <c r="A1045" s="2"/>
      <c r="B1045" s="3"/>
      <c r="C1045" s="3"/>
      <c r="D1045" s="3"/>
      <c r="E1045" s="4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</row>
    <row r="1046" spans="1:29" ht="14.25" customHeight="1" x14ac:dyDescent="0.2">
      <c r="A1046" s="2"/>
      <c r="B1046" s="3"/>
      <c r="C1046" s="3"/>
      <c r="D1046" s="3"/>
      <c r="E1046" s="4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</row>
    <row r="1047" spans="1:29" ht="14.25" customHeight="1" x14ac:dyDescent="0.2">
      <c r="A1047" s="2"/>
      <c r="B1047" s="3"/>
      <c r="C1047" s="3"/>
      <c r="D1047" s="3"/>
      <c r="E1047" s="4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</row>
    <row r="1048" spans="1:29" ht="14.25" customHeight="1" x14ac:dyDescent="0.2">
      <c r="A1048" s="2"/>
      <c r="B1048" s="3"/>
      <c r="C1048" s="3"/>
      <c r="D1048" s="3"/>
      <c r="E1048" s="4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</row>
    <row r="1049" spans="1:29" ht="14.25" customHeight="1" x14ac:dyDescent="0.2">
      <c r="A1049" s="2"/>
      <c r="B1049" s="3"/>
      <c r="C1049" s="3"/>
      <c r="D1049" s="3"/>
      <c r="E1049" s="4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</row>
    <row r="1050" spans="1:29" ht="14.25" customHeight="1" x14ac:dyDescent="0.2">
      <c r="A1050" s="2"/>
      <c r="B1050" s="3"/>
      <c r="C1050" s="3"/>
      <c r="D1050" s="3"/>
      <c r="E1050" s="4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</row>
    <row r="1051" spans="1:29" ht="14.25" customHeight="1" x14ac:dyDescent="0.2">
      <c r="A1051" s="2"/>
      <c r="B1051" s="3"/>
      <c r="C1051" s="3"/>
      <c r="D1051" s="3"/>
      <c r="E1051" s="4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</row>
    <row r="1052" spans="1:29" ht="14.25" customHeight="1" x14ac:dyDescent="0.2">
      <c r="A1052" s="2"/>
      <c r="B1052" s="3"/>
      <c r="C1052" s="3"/>
      <c r="D1052" s="3"/>
      <c r="E1052" s="4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</row>
    <row r="1053" spans="1:29" ht="14.25" customHeight="1" x14ac:dyDescent="0.2">
      <c r="A1053" s="2"/>
      <c r="B1053" s="3"/>
      <c r="C1053" s="3"/>
      <c r="D1053" s="3"/>
      <c r="E1053" s="4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</row>
    <row r="1054" spans="1:29" ht="14.25" customHeight="1" x14ac:dyDescent="0.2">
      <c r="A1054" s="2"/>
      <c r="B1054" s="3"/>
      <c r="C1054" s="3"/>
      <c r="D1054" s="3"/>
      <c r="E1054" s="4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</row>
    <row r="1055" spans="1:29" ht="14.25" customHeight="1" x14ac:dyDescent="0.2">
      <c r="A1055" s="2"/>
      <c r="B1055" s="3"/>
      <c r="C1055" s="3"/>
      <c r="D1055" s="3"/>
      <c r="E1055" s="4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</row>
    <row r="1056" spans="1:29" ht="14.25" customHeight="1" x14ac:dyDescent="0.2">
      <c r="A1056" s="2"/>
      <c r="B1056" s="3"/>
      <c r="C1056" s="3"/>
      <c r="D1056" s="3"/>
      <c r="E1056" s="4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</row>
    <row r="1057" spans="1:29" ht="14.25" customHeight="1" x14ac:dyDescent="0.2">
      <c r="A1057" s="2"/>
      <c r="B1057" s="3"/>
      <c r="C1057" s="3"/>
      <c r="D1057" s="3"/>
      <c r="E1057" s="4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</row>
    <row r="1058" spans="1:29" ht="14.25" customHeight="1" x14ac:dyDescent="0.2">
      <c r="A1058" s="2"/>
      <c r="B1058" s="3"/>
      <c r="C1058" s="3"/>
      <c r="D1058" s="3"/>
      <c r="E1058" s="4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</row>
    <row r="1059" spans="1:29" ht="14.25" customHeight="1" x14ac:dyDescent="0.2">
      <c r="A1059" s="2"/>
      <c r="B1059" s="3"/>
      <c r="C1059" s="3"/>
      <c r="D1059" s="3"/>
      <c r="E1059" s="4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</row>
    <row r="1060" spans="1:29" ht="14.25" customHeight="1" x14ac:dyDescent="0.2">
      <c r="A1060" s="2"/>
      <c r="B1060" s="3"/>
      <c r="C1060" s="3"/>
      <c r="D1060" s="3"/>
      <c r="E1060" s="4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</row>
    <row r="1061" spans="1:29" ht="14.25" customHeight="1" x14ac:dyDescent="0.2">
      <c r="A1061" s="2"/>
      <c r="B1061" s="3"/>
      <c r="C1061" s="3"/>
      <c r="D1061" s="3"/>
      <c r="E1061" s="4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</row>
    <row r="1062" spans="1:29" ht="14.25" customHeight="1" x14ac:dyDescent="0.2">
      <c r="A1062" s="2"/>
      <c r="B1062" s="3"/>
      <c r="C1062" s="3"/>
      <c r="D1062" s="3"/>
      <c r="E1062" s="4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</row>
    <row r="1063" spans="1:29" ht="14.25" customHeight="1" x14ac:dyDescent="0.2">
      <c r="A1063" s="2"/>
      <c r="B1063" s="3"/>
      <c r="C1063" s="3"/>
      <c r="D1063" s="3"/>
      <c r="E1063" s="4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</row>
    <row r="1064" spans="1:29" ht="14.25" customHeight="1" x14ac:dyDescent="0.2">
      <c r="A1064" s="2"/>
      <c r="B1064" s="3"/>
      <c r="C1064" s="3"/>
      <c r="D1064" s="3"/>
      <c r="E1064" s="4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</row>
    <row r="1065" spans="1:29" ht="14.25" customHeight="1" x14ac:dyDescent="0.2">
      <c r="A1065" s="2"/>
      <c r="B1065" s="3"/>
      <c r="C1065" s="3"/>
      <c r="D1065" s="3"/>
      <c r="E1065" s="4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</row>
    <row r="1066" spans="1:29" ht="14.25" customHeight="1" x14ac:dyDescent="0.2">
      <c r="A1066" s="2"/>
      <c r="B1066" s="3"/>
      <c r="C1066" s="3"/>
      <c r="D1066" s="3"/>
      <c r="E1066" s="4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</row>
    <row r="1067" spans="1:29" ht="14.25" customHeight="1" x14ac:dyDescent="0.2">
      <c r="A1067" s="2"/>
      <c r="B1067" s="3"/>
      <c r="C1067" s="3"/>
      <c r="D1067" s="3"/>
      <c r="E1067" s="4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</row>
    <row r="1068" spans="1:29" ht="14.25" customHeight="1" x14ac:dyDescent="0.2">
      <c r="A1068" s="2"/>
      <c r="B1068" s="3"/>
      <c r="C1068" s="3"/>
      <c r="D1068" s="3"/>
      <c r="E1068" s="4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</row>
    <row r="1069" spans="1:29" ht="14.25" customHeight="1" x14ac:dyDescent="0.2">
      <c r="A1069" s="2"/>
      <c r="B1069" s="3"/>
      <c r="C1069" s="3"/>
      <c r="D1069" s="3"/>
      <c r="E1069" s="4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</row>
    <row r="1070" spans="1:29" ht="14.25" customHeight="1" x14ac:dyDescent="0.2">
      <c r="A1070" s="2"/>
      <c r="B1070" s="3"/>
      <c r="C1070" s="3"/>
      <c r="D1070" s="3"/>
      <c r="E1070" s="4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</row>
    <row r="1071" spans="1:29" ht="14.25" customHeight="1" x14ac:dyDescent="0.2">
      <c r="A1071" s="2"/>
      <c r="B1071" s="3"/>
      <c r="C1071" s="3"/>
      <c r="D1071" s="3"/>
      <c r="E1071" s="4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</row>
    <row r="1072" spans="1:29" ht="14.25" customHeight="1" x14ac:dyDescent="0.2">
      <c r="A1072" s="2"/>
      <c r="B1072" s="3"/>
      <c r="C1072" s="3"/>
      <c r="D1072" s="3"/>
      <c r="E1072" s="4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</row>
    <row r="1073" spans="1:29" ht="14.25" customHeight="1" x14ac:dyDescent="0.2">
      <c r="A1073" s="2"/>
      <c r="B1073" s="3"/>
      <c r="C1073" s="3"/>
      <c r="D1073" s="3"/>
      <c r="E1073" s="4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</row>
    <row r="1074" spans="1:29" ht="14.25" customHeight="1" x14ac:dyDescent="0.2">
      <c r="A1074" s="2"/>
      <c r="B1074" s="3"/>
      <c r="C1074" s="3"/>
      <c r="D1074" s="3"/>
      <c r="E1074" s="4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</row>
    <row r="1075" spans="1:29" ht="14.25" customHeight="1" x14ac:dyDescent="0.2">
      <c r="A1075" s="2"/>
      <c r="B1075" s="3"/>
      <c r="C1075" s="3"/>
      <c r="D1075" s="3"/>
      <c r="E1075" s="4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</row>
    <row r="1076" spans="1:29" ht="14.25" customHeight="1" x14ac:dyDescent="0.2">
      <c r="A1076" s="2"/>
      <c r="B1076" s="3"/>
      <c r="C1076" s="3"/>
      <c r="D1076" s="3"/>
      <c r="E1076" s="4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</row>
    <row r="1077" spans="1:29" ht="14.25" customHeight="1" x14ac:dyDescent="0.2">
      <c r="A1077" s="2"/>
      <c r="B1077" s="3"/>
      <c r="C1077" s="3"/>
      <c r="D1077" s="3"/>
      <c r="E1077" s="4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</row>
    <row r="1078" spans="1:29" ht="14.25" customHeight="1" x14ac:dyDescent="0.2">
      <c r="A1078" s="2"/>
      <c r="B1078" s="3"/>
      <c r="C1078" s="3"/>
      <c r="D1078" s="3"/>
      <c r="E1078" s="4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</row>
    <row r="1079" spans="1:29" ht="14.25" customHeight="1" x14ac:dyDescent="0.2">
      <c r="A1079" s="2"/>
      <c r="B1079" s="3"/>
      <c r="C1079" s="3"/>
      <c r="D1079" s="3"/>
      <c r="E1079" s="4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</row>
    <row r="1080" spans="1:29" ht="14.25" customHeight="1" x14ac:dyDescent="0.2">
      <c r="A1080" s="2"/>
      <c r="B1080" s="3"/>
      <c r="C1080" s="3"/>
      <c r="D1080" s="3"/>
      <c r="E1080" s="4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</row>
    <row r="1081" spans="1:29" ht="14.25" customHeight="1" x14ac:dyDescent="0.2">
      <c r="A1081" s="2"/>
      <c r="B1081" s="3"/>
      <c r="C1081" s="3"/>
      <c r="D1081" s="3"/>
      <c r="E1081" s="4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</row>
    <row r="1082" spans="1:29" ht="14.25" customHeight="1" x14ac:dyDescent="0.2">
      <c r="A1082" s="2"/>
      <c r="B1082" s="3"/>
      <c r="C1082" s="3"/>
      <c r="D1082" s="3"/>
      <c r="E1082" s="4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</row>
    <row r="1083" spans="1:29" ht="14.25" customHeight="1" x14ac:dyDescent="0.2">
      <c r="A1083" s="2"/>
      <c r="B1083" s="3"/>
      <c r="C1083" s="3"/>
      <c r="D1083" s="3"/>
      <c r="E1083" s="4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</row>
    <row r="1084" spans="1:29" ht="14.25" customHeight="1" x14ac:dyDescent="0.2">
      <c r="A1084" s="2"/>
      <c r="B1084" s="3"/>
      <c r="C1084" s="3"/>
      <c r="D1084" s="3"/>
      <c r="E1084" s="4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</row>
    <row r="1085" spans="1:29" ht="14.25" customHeight="1" x14ac:dyDescent="0.2">
      <c r="A1085" s="2"/>
      <c r="B1085" s="3"/>
      <c r="C1085" s="3"/>
      <c r="D1085" s="3"/>
      <c r="E1085" s="4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</row>
    <row r="1086" spans="1:29" ht="14.25" customHeight="1" x14ac:dyDescent="0.2">
      <c r="A1086" s="2"/>
      <c r="B1086" s="3"/>
      <c r="C1086" s="3"/>
      <c r="D1086" s="3"/>
      <c r="E1086" s="4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</row>
    <row r="1087" spans="1:29" ht="14.25" customHeight="1" x14ac:dyDescent="0.2">
      <c r="A1087" s="2"/>
      <c r="B1087" s="3"/>
      <c r="C1087" s="3"/>
      <c r="D1087" s="3"/>
      <c r="E1087" s="4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</row>
    <row r="1088" spans="1:29" ht="14.25" customHeight="1" x14ac:dyDescent="0.2">
      <c r="A1088" s="2"/>
      <c r="B1088" s="3"/>
      <c r="C1088" s="3"/>
      <c r="D1088" s="3"/>
      <c r="E1088" s="4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</row>
    <row r="1089" spans="1:29" ht="14.25" customHeight="1" x14ac:dyDescent="0.2">
      <c r="A1089" s="2"/>
      <c r="B1089" s="3"/>
      <c r="C1089" s="3"/>
      <c r="D1089" s="3"/>
      <c r="E1089" s="4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</row>
    <row r="1090" spans="1:29" ht="14.25" customHeight="1" x14ac:dyDescent="0.2">
      <c r="A1090" s="2"/>
      <c r="B1090" s="3"/>
      <c r="C1090" s="3"/>
      <c r="D1090" s="3"/>
      <c r="E1090" s="4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</row>
    <row r="1091" spans="1:29" ht="14.25" customHeight="1" x14ac:dyDescent="0.2">
      <c r="A1091" s="2"/>
      <c r="B1091" s="3"/>
      <c r="C1091" s="3"/>
      <c r="D1091" s="3"/>
      <c r="E1091" s="4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</row>
    <row r="1092" spans="1:29" ht="14.25" customHeight="1" x14ac:dyDescent="0.2">
      <c r="A1092" s="2"/>
      <c r="B1092" s="3"/>
      <c r="C1092" s="3"/>
      <c r="D1092" s="3"/>
      <c r="E1092" s="4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</row>
    <row r="1093" spans="1:29" ht="14.25" customHeight="1" x14ac:dyDescent="0.2">
      <c r="A1093" s="2"/>
      <c r="B1093" s="3"/>
      <c r="C1093" s="3"/>
      <c r="D1093" s="3"/>
      <c r="E1093" s="4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</row>
    <row r="1094" spans="1:29" ht="14.25" customHeight="1" x14ac:dyDescent="0.2">
      <c r="A1094" s="2"/>
      <c r="B1094" s="3"/>
      <c r="C1094" s="3"/>
      <c r="D1094" s="3"/>
      <c r="E1094" s="4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</row>
    <row r="1095" spans="1:29" ht="14.25" customHeight="1" x14ac:dyDescent="0.2">
      <c r="A1095" s="2"/>
      <c r="B1095" s="3"/>
      <c r="C1095" s="3"/>
      <c r="D1095" s="3"/>
      <c r="E1095" s="4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</row>
    <row r="1096" spans="1:29" ht="14.25" customHeight="1" x14ac:dyDescent="0.2">
      <c r="A1096" s="2"/>
      <c r="B1096" s="3"/>
      <c r="C1096" s="3"/>
      <c r="D1096" s="3"/>
      <c r="E1096" s="4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</row>
    <row r="1097" spans="1:29" ht="14.25" customHeight="1" x14ac:dyDescent="0.2">
      <c r="A1097" s="2"/>
      <c r="B1097" s="3"/>
      <c r="C1097" s="3"/>
      <c r="D1097" s="3"/>
      <c r="E1097" s="4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</row>
    <row r="1098" spans="1:29" ht="14.25" customHeight="1" x14ac:dyDescent="0.2">
      <c r="A1098" s="2"/>
      <c r="B1098" s="3"/>
      <c r="C1098" s="3"/>
      <c r="D1098" s="3"/>
      <c r="E1098" s="4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</row>
    <row r="1099" spans="1:29" ht="14.25" customHeight="1" x14ac:dyDescent="0.2">
      <c r="A1099" s="2"/>
      <c r="B1099" s="3"/>
      <c r="C1099" s="3"/>
      <c r="D1099" s="3"/>
      <c r="E1099" s="4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</row>
    <row r="1100" spans="1:29" ht="14.25" customHeight="1" x14ac:dyDescent="0.2">
      <c r="A1100" s="2"/>
      <c r="B1100" s="3"/>
      <c r="C1100" s="3"/>
      <c r="D1100" s="3"/>
      <c r="E1100" s="4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</row>
    <row r="1101" spans="1:29" ht="14.25" customHeight="1" x14ac:dyDescent="0.2">
      <c r="A1101" s="2"/>
      <c r="B1101" s="3"/>
      <c r="C1101" s="3"/>
      <c r="D1101" s="3"/>
      <c r="E1101" s="4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</row>
    <row r="1102" spans="1:29" ht="14.25" customHeight="1" x14ac:dyDescent="0.2">
      <c r="A1102" s="2"/>
      <c r="B1102" s="3"/>
      <c r="C1102" s="3"/>
      <c r="D1102" s="3"/>
      <c r="E1102" s="4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</row>
    <row r="1103" spans="1:29" ht="14.25" customHeight="1" x14ac:dyDescent="0.2">
      <c r="A1103" s="2"/>
      <c r="B1103" s="3"/>
      <c r="C1103" s="3"/>
      <c r="D1103" s="3"/>
      <c r="E1103" s="4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</row>
    <row r="1104" spans="1:29" ht="14.25" customHeight="1" x14ac:dyDescent="0.2">
      <c r="A1104" s="2"/>
      <c r="B1104" s="3"/>
      <c r="C1104" s="3"/>
      <c r="D1104" s="3"/>
      <c r="E1104" s="4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</row>
    <row r="1105" spans="1:29" ht="14.25" customHeight="1" x14ac:dyDescent="0.2">
      <c r="A1105" s="2"/>
      <c r="B1105" s="3"/>
      <c r="C1105" s="3"/>
      <c r="D1105" s="3"/>
      <c r="E1105" s="4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</row>
    <row r="1106" spans="1:29" ht="14.25" customHeight="1" x14ac:dyDescent="0.2">
      <c r="A1106" s="2"/>
      <c r="B1106" s="3"/>
      <c r="C1106" s="3"/>
      <c r="D1106" s="3"/>
      <c r="E1106" s="4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</row>
    <row r="1107" spans="1:29" ht="14.25" customHeight="1" x14ac:dyDescent="0.2">
      <c r="A1107" s="2"/>
      <c r="B1107" s="3"/>
      <c r="C1107" s="3"/>
      <c r="D1107" s="3"/>
      <c r="E1107" s="4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</row>
    <row r="1108" spans="1:29" ht="14.25" customHeight="1" x14ac:dyDescent="0.2">
      <c r="A1108" s="2"/>
      <c r="B1108" s="3"/>
      <c r="C1108" s="3"/>
      <c r="D1108" s="3"/>
      <c r="E1108" s="4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</row>
    <row r="1109" spans="1:29" ht="14.25" customHeight="1" x14ac:dyDescent="0.2">
      <c r="A1109" s="2"/>
      <c r="B1109" s="3"/>
      <c r="C1109" s="3"/>
      <c r="D1109" s="3"/>
      <c r="E1109" s="4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</row>
    <row r="1110" spans="1:29" ht="14.25" customHeight="1" x14ac:dyDescent="0.2">
      <c r="A1110" s="2"/>
      <c r="B1110" s="3"/>
      <c r="C1110" s="3"/>
      <c r="D1110" s="3"/>
      <c r="E1110" s="4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</row>
    <row r="1111" spans="1:29" ht="14.25" customHeight="1" x14ac:dyDescent="0.2">
      <c r="A1111" s="2"/>
      <c r="B1111" s="3"/>
      <c r="C1111" s="3"/>
      <c r="D1111" s="3"/>
      <c r="E1111" s="4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</row>
    <row r="1112" spans="1:29" ht="14.25" customHeight="1" x14ac:dyDescent="0.2">
      <c r="A1112" s="2"/>
      <c r="B1112" s="3"/>
      <c r="C1112" s="3"/>
      <c r="D1112" s="3"/>
      <c r="E1112" s="4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</row>
    <row r="1113" spans="1:29" ht="14.25" customHeight="1" x14ac:dyDescent="0.2">
      <c r="A1113" s="2"/>
      <c r="B1113" s="3"/>
      <c r="C1113" s="3"/>
      <c r="D1113" s="3"/>
      <c r="E1113" s="4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</row>
    <row r="1114" spans="1:29" ht="14.25" customHeight="1" x14ac:dyDescent="0.2">
      <c r="A1114" s="2"/>
      <c r="B1114" s="3"/>
      <c r="C1114" s="3"/>
      <c r="D1114" s="3"/>
      <c r="E1114" s="4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</row>
    <row r="1115" spans="1:29" ht="14.25" customHeight="1" x14ac:dyDescent="0.2">
      <c r="A1115" s="2"/>
      <c r="B1115" s="3"/>
      <c r="C1115" s="3"/>
      <c r="D1115" s="3"/>
      <c r="E1115" s="4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</row>
    <row r="1116" spans="1:29" ht="14.25" customHeight="1" x14ac:dyDescent="0.2">
      <c r="A1116" s="2"/>
      <c r="B1116" s="3"/>
      <c r="C1116" s="3"/>
      <c r="D1116" s="3"/>
      <c r="E1116" s="4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</row>
    <row r="1117" spans="1:29" ht="14.25" customHeight="1" x14ac:dyDescent="0.2">
      <c r="A1117" s="2"/>
      <c r="B1117" s="3"/>
      <c r="C1117" s="3"/>
      <c r="D1117" s="3"/>
      <c r="E1117" s="4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</row>
    <row r="1118" spans="1:29" ht="14.25" customHeight="1" x14ac:dyDescent="0.2">
      <c r="A1118" s="2"/>
      <c r="B1118" s="3"/>
      <c r="C1118" s="3"/>
      <c r="D1118" s="3"/>
      <c r="E1118" s="4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</row>
    <row r="1119" spans="1:29" ht="14.25" customHeight="1" x14ac:dyDescent="0.2">
      <c r="A1119" s="2"/>
      <c r="B1119" s="3"/>
      <c r="C1119" s="3"/>
      <c r="D1119" s="3"/>
      <c r="E1119" s="4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</row>
    <row r="1120" spans="1:29" ht="14.25" customHeight="1" x14ac:dyDescent="0.2">
      <c r="A1120" s="2"/>
      <c r="B1120" s="3"/>
      <c r="C1120" s="3"/>
      <c r="D1120" s="3"/>
      <c r="E1120" s="4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</row>
    <row r="1121" spans="1:29" ht="14.25" customHeight="1" x14ac:dyDescent="0.2">
      <c r="A1121" s="2"/>
      <c r="B1121" s="3"/>
      <c r="C1121" s="3"/>
      <c r="D1121" s="3"/>
      <c r="E1121" s="4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</row>
    <row r="1122" spans="1:29" ht="14.25" customHeight="1" x14ac:dyDescent="0.2">
      <c r="A1122" s="2"/>
      <c r="B1122" s="3"/>
      <c r="C1122" s="3"/>
      <c r="D1122" s="3"/>
      <c r="E1122" s="4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</row>
    <row r="1123" spans="1:29" ht="14.25" customHeight="1" x14ac:dyDescent="0.2">
      <c r="A1123" s="2"/>
      <c r="B1123" s="3"/>
      <c r="C1123" s="3"/>
      <c r="D1123" s="3"/>
      <c r="E1123" s="4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</row>
    <row r="1124" spans="1:29" ht="14.25" customHeight="1" x14ac:dyDescent="0.2">
      <c r="A1124" s="2"/>
      <c r="B1124" s="3"/>
      <c r="C1124" s="3"/>
      <c r="D1124" s="3"/>
      <c r="E1124" s="4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</row>
    <row r="1125" spans="1:29" ht="14.25" customHeight="1" x14ac:dyDescent="0.2">
      <c r="A1125" s="2"/>
      <c r="B1125" s="3"/>
      <c r="C1125" s="3"/>
      <c r="D1125" s="3"/>
      <c r="E1125" s="4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</row>
    <row r="1126" spans="1:29" ht="14.25" customHeight="1" x14ac:dyDescent="0.2">
      <c r="A1126" s="2"/>
      <c r="B1126" s="3"/>
      <c r="C1126" s="3"/>
      <c r="D1126" s="3"/>
      <c r="E1126" s="4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</row>
    <row r="1127" spans="1:29" ht="14.25" customHeight="1" x14ac:dyDescent="0.2">
      <c r="A1127" s="2"/>
      <c r="B1127" s="3"/>
      <c r="C1127" s="3"/>
      <c r="D1127" s="3"/>
      <c r="E1127" s="4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</row>
    <row r="1128" spans="1:29" ht="14.25" customHeight="1" x14ac:dyDescent="0.2">
      <c r="A1128" s="2"/>
      <c r="B1128" s="3"/>
      <c r="C1128" s="3"/>
      <c r="D1128" s="3"/>
      <c r="E1128" s="4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</row>
    <row r="1129" spans="1:29" ht="14.25" customHeight="1" x14ac:dyDescent="0.2">
      <c r="A1129" s="2"/>
      <c r="B1129" s="3"/>
      <c r="C1129" s="3"/>
      <c r="D1129" s="3"/>
      <c r="E1129" s="4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</row>
    <row r="1130" spans="1:29" ht="14.25" customHeight="1" x14ac:dyDescent="0.2">
      <c r="A1130" s="2"/>
      <c r="B1130" s="3"/>
      <c r="C1130" s="3"/>
      <c r="D1130" s="3"/>
      <c r="E1130" s="4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</row>
    <row r="1131" spans="1:29" ht="14.25" customHeight="1" x14ac:dyDescent="0.2">
      <c r="A1131" s="2"/>
      <c r="B1131" s="3"/>
      <c r="C1131" s="3"/>
      <c r="D1131" s="3"/>
      <c r="E1131" s="4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</row>
    <row r="1132" spans="1:29" ht="14.25" customHeight="1" x14ac:dyDescent="0.2">
      <c r="A1132" s="2"/>
      <c r="B1132" s="3"/>
      <c r="C1132" s="3"/>
      <c r="D1132" s="3"/>
      <c r="E1132" s="4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</row>
    <row r="1133" spans="1:29" ht="14.25" customHeight="1" x14ac:dyDescent="0.2">
      <c r="A1133" s="2"/>
      <c r="B1133" s="3"/>
      <c r="C1133" s="3"/>
      <c r="D1133" s="3"/>
      <c r="E1133" s="4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</row>
    <row r="1134" spans="1:29" ht="14.25" customHeight="1" x14ac:dyDescent="0.2">
      <c r="A1134" s="2"/>
      <c r="B1134" s="3"/>
      <c r="C1134" s="3"/>
      <c r="D1134" s="3"/>
      <c r="E1134" s="4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</row>
    <row r="1135" spans="1:29" ht="14.25" customHeight="1" x14ac:dyDescent="0.2">
      <c r="A1135" s="2"/>
      <c r="B1135" s="3"/>
      <c r="C1135" s="3"/>
      <c r="D1135" s="3"/>
      <c r="E1135" s="4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</row>
    <row r="1136" spans="1:29" ht="14.25" customHeight="1" x14ac:dyDescent="0.2">
      <c r="A1136" s="2"/>
      <c r="B1136" s="3"/>
      <c r="C1136" s="3"/>
      <c r="D1136" s="3"/>
      <c r="E1136" s="4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</row>
    <row r="1137" spans="1:29" ht="14.25" customHeight="1" x14ac:dyDescent="0.2">
      <c r="A1137" s="2"/>
      <c r="B1137" s="3"/>
      <c r="C1137" s="3"/>
      <c r="D1137" s="3"/>
      <c r="E1137" s="4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</row>
    <row r="1138" spans="1:29" ht="14.25" customHeight="1" x14ac:dyDescent="0.2">
      <c r="A1138" s="2"/>
      <c r="B1138" s="3"/>
      <c r="C1138" s="3"/>
      <c r="D1138" s="3"/>
      <c r="E1138" s="4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</row>
    <row r="1139" spans="1:29" ht="14.25" customHeight="1" x14ac:dyDescent="0.2">
      <c r="A1139" s="2"/>
      <c r="B1139" s="3"/>
      <c r="C1139" s="3"/>
      <c r="D1139" s="3"/>
      <c r="E1139" s="4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</row>
    <row r="1140" spans="1:29" ht="14.25" customHeight="1" x14ac:dyDescent="0.2">
      <c r="A1140" s="2"/>
      <c r="B1140" s="3"/>
      <c r="C1140" s="3"/>
      <c r="D1140" s="3"/>
      <c r="E1140" s="4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</row>
    <row r="1141" spans="1:29" ht="14.25" customHeight="1" x14ac:dyDescent="0.2">
      <c r="A1141" s="2"/>
      <c r="B1141" s="3"/>
      <c r="C1141" s="3"/>
      <c r="D1141" s="3"/>
      <c r="E1141" s="4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</row>
    <row r="1142" spans="1:29" ht="14.25" customHeight="1" x14ac:dyDescent="0.2">
      <c r="A1142" s="2"/>
      <c r="B1142" s="3"/>
      <c r="C1142" s="3"/>
      <c r="D1142" s="3"/>
      <c r="E1142" s="4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</row>
    <row r="1143" spans="1:29" ht="14.25" customHeight="1" x14ac:dyDescent="0.2">
      <c r="A1143" s="2"/>
      <c r="B1143" s="3"/>
      <c r="C1143" s="3"/>
      <c r="D1143" s="3"/>
      <c r="E1143" s="4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</row>
    <row r="1144" spans="1:29" ht="14.25" customHeight="1" x14ac:dyDescent="0.2">
      <c r="A1144" s="2"/>
      <c r="B1144" s="3"/>
      <c r="C1144" s="3"/>
      <c r="D1144" s="3"/>
      <c r="E1144" s="4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</row>
    <row r="1145" spans="1:29" ht="14.25" customHeight="1" x14ac:dyDescent="0.2">
      <c r="A1145" s="2"/>
      <c r="B1145" s="3"/>
      <c r="C1145" s="3"/>
      <c r="D1145" s="3"/>
      <c r="E1145" s="4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</row>
    <row r="1146" spans="1:29" ht="14.25" customHeight="1" x14ac:dyDescent="0.2">
      <c r="A1146" s="2"/>
      <c r="B1146" s="3"/>
      <c r="C1146" s="3"/>
      <c r="D1146" s="3"/>
      <c r="E1146" s="4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</row>
    <row r="1147" spans="1:29" ht="14.25" customHeight="1" x14ac:dyDescent="0.2">
      <c r="A1147" s="2"/>
      <c r="B1147" s="3"/>
      <c r="C1147" s="3"/>
      <c r="D1147" s="3"/>
      <c r="E1147" s="4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</row>
    <row r="1148" spans="1:29" ht="14.25" customHeight="1" x14ac:dyDescent="0.2">
      <c r="A1148" s="2"/>
      <c r="B1148" s="3"/>
      <c r="C1148" s="3"/>
      <c r="D1148" s="3"/>
      <c r="E1148" s="4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</row>
    <row r="1149" spans="1:29" ht="14.25" customHeight="1" x14ac:dyDescent="0.2">
      <c r="A1149" s="2"/>
      <c r="B1149" s="3"/>
      <c r="C1149" s="3"/>
      <c r="D1149" s="3"/>
      <c r="E1149" s="4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</row>
    <row r="1150" spans="1:29" ht="14.25" customHeight="1" x14ac:dyDescent="0.2">
      <c r="A1150" s="2"/>
      <c r="B1150" s="3"/>
      <c r="C1150" s="3"/>
      <c r="D1150" s="3"/>
      <c r="E1150" s="4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</row>
    <row r="1151" spans="1:29" ht="14.25" customHeight="1" x14ac:dyDescent="0.2">
      <c r="A1151" s="2"/>
      <c r="B1151" s="3"/>
      <c r="C1151" s="3"/>
      <c r="D1151" s="3"/>
      <c r="E1151" s="4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</row>
    <row r="1152" spans="1:29" ht="14.25" customHeight="1" x14ac:dyDescent="0.2">
      <c r="A1152" s="2"/>
      <c r="B1152" s="3"/>
      <c r="C1152" s="3"/>
      <c r="D1152" s="3"/>
      <c r="E1152" s="4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</row>
    <row r="1153" spans="1:29" ht="14.25" customHeight="1" x14ac:dyDescent="0.2">
      <c r="A1153" s="2"/>
      <c r="B1153" s="3"/>
      <c r="C1153" s="3"/>
      <c r="D1153" s="3"/>
      <c r="E1153" s="4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</row>
    <row r="1154" spans="1:29" ht="14.25" customHeight="1" x14ac:dyDescent="0.2">
      <c r="A1154" s="2"/>
      <c r="B1154" s="3"/>
      <c r="C1154" s="3"/>
      <c r="D1154" s="3"/>
      <c r="E1154" s="4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</row>
    <row r="1155" spans="1:29" ht="14.25" customHeight="1" x14ac:dyDescent="0.2">
      <c r="A1155" s="2"/>
      <c r="B1155" s="3"/>
      <c r="C1155" s="3"/>
      <c r="D1155" s="3"/>
      <c r="E1155" s="4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</row>
    <row r="1156" spans="1:29" ht="14.25" customHeight="1" x14ac:dyDescent="0.2">
      <c r="A1156" s="2"/>
      <c r="B1156" s="3"/>
      <c r="C1156" s="3"/>
      <c r="D1156" s="3"/>
      <c r="E1156" s="4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</row>
    <row r="1157" spans="1:29" ht="14.25" customHeight="1" x14ac:dyDescent="0.2">
      <c r="A1157" s="2"/>
      <c r="B1157" s="3"/>
      <c r="C1157" s="3"/>
      <c r="D1157" s="3"/>
      <c r="E1157" s="4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</row>
    <row r="1158" spans="1:29" ht="14.25" customHeight="1" x14ac:dyDescent="0.2">
      <c r="A1158" s="2"/>
      <c r="B1158" s="3"/>
      <c r="C1158" s="3"/>
      <c r="D1158" s="3"/>
      <c r="E1158" s="4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</row>
    <row r="1159" spans="1:29" ht="14.25" customHeight="1" x14ac:dyDescent="0.2">
      <c r="A1159" s="2"/>
      <c r="B1159" s="3"/>
      <c r="C1159" s="3"/>
      <c r="D1159" s="3"/>
      <c r="E1159" s="4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</row>
    <row r="1160" spans="1:29" ht="14.25" customHeight="1" x14ac:dyDescent="0.2">
      <c r="A1160" s="2"/>
      <c r="B1160" s="3"/>
      <c r="C1160" s="3"/>
      <c r="D1160" s="3"/>
      <c r="E1160" s="4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</row>
    <row r="1161" spans="1:29" ht="14.25" customHeight="1" x14ac:dyDescent="0.2">
      <c r="A1161" s="2"/>
      <c r="B1161" s="3"/>
      <c r="C1161" s="3"/>
      <c r="D1161" s="3"/>
      <c r="E1161" s="4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</row>
    <row r="1162" spans="1:29" ht="14.25" customHeight="1" x14ac:dyDescent="0.2">
      <c r="A1162" s="2"/>
      <c r="B1162" s="3"/>
      <c r="C1162" s="3"/>
      <c r="D1162" s="3"/>
      <c r="E1162" s="4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</row>
    <row r="1163" spans="1:29" ht="14.25" customHeight="1" x14ac:dyDescent="0.2">
      <c r="A1163" s="2"/>
      <c r="B1163" s="3"/>
      <c r="C1163" s="3"/>
      <c r="D1163" s="3"/>
      <c r="E1163" s="4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</row>
    <row r="1164" spans="1:29" ht="14.25" customHeight="1" x14ac:dyDescent="0.2">
      <c r="A1164" s="2"/>
      <c r="B1164" s="3"/>
      <c r="C1164" s="3"/>
      <c r="D1164" s="3"/>
      <c r="E1164" s="4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</row>
    <row r="1165" spans="1:29" ht="14.25" customHeight="1" x14ac:dyDescent="0.2">
      <c r="A1165" s="2"/>
      <c r="B1165" s="3"/>
      <c r="C1165" s="3"/>
      <c r="D1165" s="3"/>
      <c r="E1165" s="4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</row>
    <row r="1166" spans="1:29" ht="14.25" customHeight="1" x14ac:dyDescent="0.2">
      <c r="A1166" s="2"/>
      <c r="B1166" s="3"/>
      <c r="C1166" s="3"/>
      <c r="D1166" s="3"/>
      <c r="E1166" s="4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</row>
    <row r="1167" spans="1:29" ht="14.25" customHeight="1" x14ac:dyDescent="0.2">
      <c r="A1167" s="2"/>
      <c r="B1167" s="3"/>
      <c r="C1167" s="3"/>
      <c r="D1167" s="3"/>
      <c r="E1167" s="4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</row>
    <row r="1168" spans="1:29" ht="14.25" customHeight="1" x14ac:dyDescent="0.2">
      <c r="A1168" s="2"/>
      <c r="B1168" s="3"/>
      <c r="C1168" s="3"/>
      <c r="D1168" s="3"/>
      <c r="E1168" s="4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</row>
    <row r="1169" spans="1:29" ht="14.25" customHeight="1" x14ac:dyDescent="0.2">
      <c r="A1169" s="2"/>
      <c r="B1169" s="3"/>
      <c r="C1169" s="3"/>
      <c r="D1169" s="3"/>
      <c r="E1169" s="4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</row>
    <row r="1170" spans="1:29" ht="14.25" customHeight="1" x14ac:dyDescent="0.2">
      <c r="A1170" s="2"/>
      <c r="B1170" s="3"/>
      <c r="C1170" s="3"/>
      <c r="D1170" s="3"/>
      <c r="E1170" s="4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</row>
    <row r="1171" spans="1:29" ht="14.25" customHeight="1" x14ac:dyDescent="0.2">
      <c r="A1171" s="2"/>
      <c r="B1171" s="3"/>
      <c r="C1171" s="3"/>
      <c r="D1171" s="3"/>
      <c r="E1171" s="4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</row>
    <row r="1172" spans="1:29" ht="14.25" customHeight="1" x14ac:dyDescent="0.2">
      <c r="A1172" s="2"/>
      <c r="B1172" s="3"/>
      <c r="C1172" s="3"/>
      <c r="D1172" s="3"/>
      <c r="E1172" s="4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</row>
    <row r="1173" spans="1:29" ht="14.25" customHeight="1" x14ac:dyDescent="0.2">
      <c r="A1173" s="2"/>
      <c r="B1173" s="3"/>
      <c r="C1173" s="3"/>
      <c r="D1173" s="3"/>
      <c r="E1173" s="4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</row>
    <row r="1174" spans="1:29" ht="14.25" customHeight="1" x14ac:dyDescent="0.2">
      <c r="A1174" s="2"/>
      <c r="B1174" s="3"/>
      <c r="C1174" s="3"/>
      <c r="D1174" s="3"/>
      <c r="E1174" s="4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</row>
    <row r="1175" spans="1:29" ht="14.25" customHeight="1" x14ac:dyDescent="0.2">
      <c r="A1175" s="2"/>
      <c r="B1175" s="3"/>
      <c r="C1175" s="3"/>
      <c r="D1175" s="3"/>
      <c r="E1175" s="4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</row>
    <row r="1176" spans="1:29" ht="14.25" customHeight="1" x14ac:dyDescent="0.2">
      <c r="A1176" s="2"/>
      <c r="B1176" s="3"/>
      <c r="C1176" s="3"/>
      <c r="D1176" s="3"/>
      <c r="E1176" s="4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</row>
    <row r="1177" spans="1:29" ht="14.25" customHeight="1" x14ac:dyDescent="0.2">
      <c r="A1177" s="2"/>
      <c r="B1177" s="3"/>
      <c r="C1177" s="3"/>
      <c r="D1177" s="3"/>
      <c r="E1177" s="4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</row>
    <row r="1178" spans="1:29" ht="14.25" customHeight="1" x14ac:dyDescent="0.2">
      <c r="A1178" s="2"/>
      <c r="B1178" s="3"/>
      <c r="C1178" s="3"/>
      <c r="D1178" s="3"/>
      <c r="E1178" s="4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</row>
    <row r="1179" spans="1:29" ht="14.25" customHeight="1" x14ac:dyDescent="0.2">
      <c r="A1179" s="2"/>
      <c r="B1179" s="3"/>
      <c r="C1179" s="3"/>
      <c r="D1179" s="3"/>
      <c r="E1179" s="4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</row>
    <row r="1180" spans="1:29" ht="14.25" customHeight="1" x14ac:dyDescent="0.2">
      <c r="A1180" s="2"/>
      <c r="B1180" s="3"/>
      <c r="C1180" s="3"/>
      <c r="D1180" s="3"/>
      <c r="E1180" s="4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</row>
    <row r="1181" spans="1:29" ht="14.25" customHeight="1" x14ac:dyDescent="0.2">
      <c r="A1181" s="2"/>
      <c r="B1181" s="3"/>
      <c r="C1181" s="3"/>
      <c r="D1181" s="3"/>
      <c r="E1181" s="4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</row>
    <row r="1182" spans="1:29" ht="14.25" customHeight="1" x14ac:dyDescent="0.2">
      <c r="A1182" s="2"/>
      <c r="B1182" s="3"/>
      <c r="C1182" s="3"/>
      <c r="D1182" s="3"/>
      <c r="E1182" s="4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</row>
    <row r="1183" spans="1:29" ht="14.25" customHeight="1" x14ac:dyDescent="0.2">
      <c r="A1183" s="2"/>
      <c r="B1183" s="3"/>
      <c r="C1183" s="3"/>
      <c r="D1183" s="3"/>
      <c r="E1183" s="4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</row>
    <row r="1184" spans="1:29" ht="14.25" customHeight="1" x14ac:dyDescent="0.2">
      <c r="A1184" s="2"/>
      <c r="B1184" s="3"/>
      <c r="C1184" s="3"/>
      <c r="D1184" s="3"/>
      <c r="E1184" s="4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</row>
    <row r="1185" spans="1:29" ht="14.25" customHeight="1" x14ac:dyDescent="0.2">
      <c r="A1185" s="2"/>
      <c r="B1185" s="3"/>
      <c r="C1185" s="3"/>
      <c r="D1185" s="3"/>
      <c r="E1185" s="4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</row>
    <row r="1186" spans="1:29" ht="14.25" customHeight="1" x14ac:dyDescent="0.2">
      <c r="A1186" s="2"/>
      <c r="B1186" s="3"/>
      <c r="C1186" s="3"/>
      <c r="D1186" s="3"/>
      <c r="E1186" s="4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</row>
    <row r="1187" spans="1:29" ht="14.25" customHeight="1" x14ac:dyDescent="0.2">
      <c r="A1187" s="2"/>
      <c r="B1187" s="3"/>
      <c r="C1187" s="3"/>
      <c r="D1187" s="3"/>
      <c r="E1187" s="4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</row>
    <row r="1188" spans="1:29" ht="14.25" customHeight="1" x14ac:dyDescent="0.2">
      <c r="A1188" s="2"/>
      <c r="B1188" s="3"/>
      <c r="C1188" s="3"/>
      <c r="D1188" s="3"/>
      <c r="E1188" s="4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</row>
    <row r="1189" spans="1:29" ht="14.25" customHeight="1" x14ac:dyDescent="0.2">
      <c r="A1189" s="2"/>
      <c r="B1189" s="3"/>
      <c r="C1189" s="3"/>
      <c r="D1189" s="3"/>
      <c r="E1189" s="4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</row>
    <row r="1190" spans="1:29" ht="14.25" customHeight="1" x14ac:dyDescent="0.2">
      <c r="A1190" s="2"/>
      <c r="B1190" s="3"/>
      <c r="C1190" s="3"/>
      <c r="D1190" s="3"/>
      <c r="E1190" s="4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</row>
    <row r="1191" spans="1:29" ht="14.25" customHeight="1" x14ac:dyDescent="0.2">
      <c r="A1191" s="2"/>
      <c r="B1191" s="3"/>
      <c r="C1191" s="3"/>
      <c r="D1191" s="3"/>
      <c r="E1191" s="4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</row>
    <row r="1192" spans="1:29" ht="14.25" customHeight="1" x14ac:dyDescent="0.2">
      <c r="A1192" s="2"/>
      <c r="B1192" s="3"/>
      <c r="C1192" s="3"/>
      <c r="D1192" s="3"/>
      <c r="E1192" s="4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</row>
    <row r="1193" spans="1:29" ht="14.25" customHeight="1" x14ac:dyDescent="0.2">
      <c r="A1193" s="2"/>
      <c r="B1193" s="3"/>
      <c r="C1193" s="3"/>
      <c r="D1193" s="3"/>
      <c r="E1193" s="4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</row>
    <row r="1194" spans="1:29" ht="14.25" customHeight="1" x14ac:dyDescent="0.2">
      <c r="A1194" s="2"/>
      <c r="B1194" s="3"/>
      <c r="C1194" s="3"/>
      <c r="D1194" s="3"/>
      <c r="E1194" s="4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</row>
    <row r="1195" spans="1:29" ht="14.25" customHeight="1" x14ac:dyDescent="0.2">
      <c r="A1195" s="2"/>
      <c r="B1195" s="3"/>
      <c r="C1195" s="3"/>
      <c r="D1195" s="3"/>
      <c r="E1195" s="4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</row>
    <row r="1196" spans="1:29" ht="14.25" customHeight="1" x14ac:dyDescent="0.2">
      <c r="A1196" s="2"/>
      <c r="B1196" s="3"/>
      <c r="C1196" s="3"/>
      <c r="D1196" s="3"/>
      <c r="E1196" s="4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</row>
    <row r="1197" spans="1:29" ht="14.25" customHeight="1" x14ac:dyDescent="0.2">
      <c r="A1197" s="2"/>
      <c r="B1197" s="3"/>
      <c r="C1197" s="3"/>
      <c r="D1197" s="3"/>
      <c r="E1197" s="4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</row>
    <row r="1198" spans="1:29" ht="14.25" customHeight="1" x14ac:dyDescent="0.2">
      <c r="A1198" s="2"/>
      <c r="B1198" s="3"/>
      <c r="C1198" s="3"/>
      <c r="D1198" s="3"/>
      <c r="E1198" s="4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</row>
    <row r="1199" spans="1:29" ht="14.25" customHeight="1" x14ac:dyDescent="0.2">
      <c r="A1199" s="2"/>
      <c r="B1199" s="3"/>
      <c r="C1199" s="3"/>
      <c r="D1199" s="3"/>
      <c r="E1199" s="4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</row>
    <row r="1200" spans="1:29" ht="14.25" customHeight="1" x14ac:dyDescent="0.2">
      <c r="A1200" s="2"/>
      <c r="B1200" s="3"/>
      <c r="C1200" s="3"/>
      <c r="D1200" s="3"/>
      <c r="E1200" s="4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</row>
    <row r="1201" spans="1:29" ht="14.25" customHeight="1" x14ac:dyDescent="0.2">
      <c r="A1201" s="2"/>
      <c r="B1201" s="3"/>
      <c r="C1201" s="3"/>
      <c r="D1201" s="3"/>
      <c r="E1201" s="4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</row>
    <row r="1202" spans="1:29" ht="14.25" customHeight="1" x14ac:dyDescent="0.2">
      <c r="A1202" s="2"/>
      <c r="B1202" s="3"/>
      <c r="C1202" s="3"/>
      <c r="D1202" s="3"/>
      <c r="E1202" s="4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</row>
    <row r="1203" spans="1:29" ht="14.25" customHeight="1" x14ac:dyDescent="0.2">
      <c r="A1203" s="2"/>
      <c r="B1203" s="3"/>
      <c r="C1203" s="3"/>
      <c r="D1203" s="3"/>
      <c r="E1203" s="4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</row>
    <row r="1204" spans="1:29" ht="14.25" customHeight="1" x14ac:dyDescent="0.2">
      <c r="A1204" s="2"/>
      <c r="B1204" s="3"/>
      <c r="C1204" s="3"/>
      <c r="D1204" s="3"/>
      <c r="E1204" s="4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</row>
    <row r="1205" spans="1:29" ht="14.25" customHeight="1" x14ac:dyDescent="0.2">
      <c r="A1205" s="2"/>
      <c r="B1205" s="3"/>
      <c r="C1205" s="3"/>
      <c r="D1205" s="3"/>
      <c r="E1205" s="4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</row>
    <row r="1206" spans="1:29" ht="14.25" customHeight="1" x14ac:dyDescent="0.2">
      <c r="A1206" s="2"/>
      <c r="B1206" s="3"/>
      <c r="C1206" s="3"/>
      <c r="D1206" s="3"/>
      <c r="E1206" s="4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</row>
    <row r="1207" spans="1:29" ht="14.25" customHeight="1" x14ac:dyDescent="0.2">
      <c r="A1207" s="2"/>
      <c r="B1207" s="3"/>
      <c r="C1207" s="3"/>
      <c r="D1207" s="3"/>
      <c r="E1207" s="4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</row>
    <row r="1208" spans="1:29" ht="14.25" customHeight="1" x14ac:dyDescent="0.2">
      <c r="A1208" s="2"/>
      <c r="B1208" s="3"/>
      <c r="C1208" s="3"/>
      <c r="D1208" s="3"/>
      <c r="E1208" s="4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</row>
    <row r="1209" spans="1:29" ht="14.25" customHeight="1" x14ac:dyDescent="0.2">
      <c r="A1209" s="2"/>
      <c r="B1209" s="3"/>
      <c r="C1209" s="3"/>
      <c r="D1209" s="3"/>
      <c r="E1209" s="4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</row>
    <row r="1210" spans="1:29" ht="14.25" customHeight="1" x14ac:dyDescent="0.2">
      <c r="A1210" s="2"/>
      <c r="B1210" s="3"/>
      <c r="C1210" s="3"/>
      <c r="D1210" s="3"/>
      <c r="E1210" s="4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</row>
    <row r="1211" spans="1:29" ht="14.25" customHeight="1" x14ac:dyDescent="0.2">
      <c r="A1211" s="2"/>
      <c r="B1211" s="3"/>
      <c r="C1211" s="3"/>
      <c r="D1211" s="3"/>
      <c r="E1211" s="4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</row>
    <row r="1212" spans="1:29" ht="14.25" customHeight="1" x14ac:dyDescent="0.2">
      <c r="A1212" s="2"/>
      <c r="B1212" s="3"/>
      <c r="C1212" s="3"/>
      <c r="D1212" s="3"/>
      <c r="E1212" s="4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</row>
    <row r="1213" spans="1:29" ht="14.25" customHeight="1" x14ac:dyDescent="0.2">
      <c r="A1213" s="2"/>
      <c r="B1213" s="3"/>
      <c r="C1213" s="3"/>
      <c r="D1213" s="3"/>
      <c r="E1213" s="4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</row>
    <row r="1214" spans="1:29" ht="14.25" customHeight="1" x14ac:dyDescent="0.2">
      <c r="A1214" s="2"/>
      <c r="B1214" s="3"/>
      <c r="C1214" s="3"/>
      <c r="D1214" s="3"/>
      <c r="E1214" s="4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</row>
    <row r="1215" spans="1:29" ht="14.25" customHeight="1" x14ac:dyDescent="0.2">
      <c r="A1215" s="2"/>
      <c r="B1215" s="3"/>
      <c r="C1215" s="3"/>
      <c r="D1215" s="3"/>
      <c r="E1215" s="4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</row>
    <row r="1216" spans="1:29" ht="14.25" customHeight="1" x14ac:dyDescent="0.2">
      <c r="A1216" s="2"/>
      <c r="B1216" s="3"/>
      <c r="C1216" s="3"/>
      <c r="D1216" s="3"/>
      <c r="E1216" s="4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</row>
    <row r="1217" spans="1:29" ht="14.25" customHeight="1" x14ac:dyDescent="0.2">
      <c r="A1217" s="2"/>
      <c r="B1217" s="3"/>
      <c r="C1217" s="3"/>
      <c r="D1217" s="3"/>
      <c r="E1217" s="4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</row>
    <row r="1218" spans="1:29" ht="14.25" customHeight="1" x14ac:dyDescent="0.2">
      <c r="A1218" s="2"/>
      <c r="B1218" s="3"/>
      <c r="C1218" s="3"/>
      <c r="D1218" s="3"/>
      <c r="E1218" s="4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</row>
    <row r="1219" spans="1:29" ht="14.25" customHeight="1" x14ac:dyDescent="0.2">
      <c r="A1219" s="2"/>
      <c r="B1219" s="3"/>
      <c r="C1219" s="3"/>
      <c r="D1219" s="3"/>
      <c r="E1219" s="4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</row>
    <row r="1220" spans="1:29" ht="14.25" customHeight="1" x14ac:dyDescent="0.2">
      <c r="A1220" s="2"/>
      <c r="B1220" s="3"/>
      <c r="C1220" s="3"/>
      <c r="D1220" s="3"/>
      <c r="E1220" s="4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</row>
    <row r="1221" spans="1:29" ht="14.25" customHeight="1" x14ac:dyDescent="0.2">
      <c r="A1221" s="2"/>
      <c r="B1221" s="3"/>
      <c r="C1221" s="3"/>
      <c r="D1221" s="3"/>
      <c r="E1221" s="4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</row>
    <row r="1222" spans="1:29" ht="14.25" customHeight="1" x14ac:dyDescent="0.2">
      <c r="A1222" s="2"/>
      <c r="B1222" s="3"/>
      <c r="C1222" s="3"/>
      <c r="D1222" s="3"/>
      <c r="E1222" s="4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</row>
    <row r="1223" spans="1:29" ht="14.25" customHeight="1" x14ac:dyDescent="0.2">
      <c r="A1223" s="2"/>
      <c r="B1223" s="3"/>
      <c r="C1223" s="3"/>
      <c r="D1223" s="3"/>
      <c r="E1223" s="4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</row>
    <row r="1224" spans="1:29" ht="14.25" customHeight="1" x14ac:dyDescent="0.2">
      <c r="A1224" s="2"/>
      <c r="B1224" s="3"/>
      <c r="C1224" s="3"/>
      <c r="D1224" s="3"/>
      <c r="E1224" s="4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</row>
    <row r="1225" spans="1:29" ht="14.25" customHeight="1" x14ac:dyDescent="0.2">
      <c r="A1225" s="2"/>
      <c r="B1225" s="3"/>
      <c r="C1225" s="3"/>
      <c r="D1225" s="3"/>
      <c r="E1225" s="4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</row>
    <row r="1226" spans="1:29" ht="14.25" customHeight="1" x14ac:dyDescent="0.2">
      <c r="A1226" s="2"/>
      <c r="B1226" s="3"/>
      <c r="C1226" s="3"/>
      <c r="D1226" s="3"/>
      <c r="E1226" s="4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</row>
    <row r="1227" spans="1:29" ht="14.25" customHeight="1" x14ac:dyDescent="0.2">
      <c r="A1227" s="2"/>
      <c r="B1227" s="3"/>
      <c r="C1227" s="3"/>
      <c r="D1227" s="3"/>
      <c r="E1227" s="4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</row>
    <row r="1228" spans="1:29" ht="14.25" customHeight="1" x14ac:dyDescent="0.2">
      <c r="A1228" s="2"/>
      <c r="B1228" s="3"/>
      <c r="C1228" s="3"/>
      <c r="D1228" s="3"/>
      <c r="E1228" s="4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</row>
    <row r="1229" spans="1:29" ht="14.25" customHeight="1" x14ac:dyDescent="0.2">
      <c r="A1229" s="2"/>
      <c r="B1229" s="3"/>
      <c r="C1229" s="3"/>
      <c r="D1229" s="3"/>
      <c r="E1229" s="4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</row>
    <row r="1230" spans="1:29" ht="14.25" customHeight="1" x14ac:dyDescent="0.2">
      <c r="A1230" s="2"/>
      <c r="B1230" s="3"/>
      <c r="C1230" s="3"/>
      <c r="D1230" s="3"/>
      <c r="E1230" s="4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</row>
    <row r="1231" spans="1:29" ht="14.25" customHeight="1" x14ac:dyDescent="0.2">
      <c r="A1231" s="2"/>
      <c r="B1231" s="3"/>
      <c r="C1231" s="3"/>
      <c r="D1231" s="3"/>
      <c r="E1231" s="4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</row>
    <row r="1232" spans="1:29" ht="14.25" customHeight="1" x14ac:dyDescent="0.2">
      <c r="A1232" s="2"/>
      <c r="B1232" s="3"/>
      <c r="C1232" s="3"/>
      <c r="D1232" s="3"/>
      <c r="E1232" s="4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</row>
    <row r="1233" spans="1:29" ht="14.25" customHeight="1" x14ac:dyDescent="0.2">
      <c r="A1233" s="2"/>
      <c r="B1233" s="3"/>
      <c r="C1233" s="3"/>
      <c r="D1233" s="3"/>
      <c r="E1233" s="4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</row>
    <row r="1234" spans="1:29" ht="14.25" customHeight="1" x14ac:dyDescent="0.2">
      <c r="A1234" s="2"/>
      <c r="B1234" s="3"/>
      <c r="C1234" s="3"/>
      <c r="D1234" s="3"/>
      <c r="E1234" s="4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</row>
    <row r="1235" spans="1:29" ht="14.25" customHeight="1" x14ac:dyDescent="0.2">
      <c r="A1235" s="2"/>
      <c r="B1235" s="3"/>
      <c r="C1235" s="3"/>
      <c r="D1235" s="3"/>
      <c r="E1235" s="4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</row>
    <row r="1236" spans="1:29" ht="14.25" customHeight="1" x14ac:dyDescent="0.2">
      <c r="A1236" s="2"/>
      <c r="B1236" s="3"/>
      <c r="C1236" s="3"/>
      <c r="D1236" s="3"/>
      <c r="E1236" s="4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</row>
    <row r="1237" spans="1:29" ht="14.25" customHeight="1" x14ac:dyDescent="0.2">
      <c r="A1237" s="2"/>
      <c r="B1237" s="3"/>
      <c r="C1237" s="3"/>
      <c r="D1237" s="3"/>
      <c r="E1237" s="4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</row>
    <row r="1238" spans="1:29" ht="14.25" customHeight="1" x14ac:dyDescent="0.2">
      <c r="A1238" s="2"/>
      <c r="B1238" s="3"/>
      <c r="C1238" s="3"/>
      <c r="D1238" s="3"/>
      <c r="E1238" s="4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</row>
    <row r="1239" spans="1:29" ht="14.25" customHeight="1" x14ac:dyDescent="0.2">
      <c r="A1239" s="2"/>
      <c r="B1239" s="3"/>
      <c r="C1239" s="3"/>
      <c r="D1239" s="3"/>
      <c r="E1239" s="4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</row>
    <row r="1240" spans="1:29" ht="14.25" customHeight="1" x14ac:dyDescent="0.2">
      <c r="A1240" s="2"/>
      <c r="B1240" s="3"/>
      <c r="C1240" s="3"/>
      <c r="D1240" s="3"/>
      <c r="E1240" s="4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</row>
    <row r="1241" spans="1:29" ht="14.25" customHeight="1" x14ac:dyDescent="0.2">
      <c r="A1241" s="2"/>
      <c r="B1241" s="3"/>
      <c r="C1241" s="3"/>
      <c r="D1241" s="3"/>
      <c r="E1241" s="4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</row>
    <row r="1242" spans="1:29" ht="14.25" customHeight="1" x14ac:dyDescent="0.2">
      <c r="A1242" s="2"/>
      <c r="B1242" s="3"/>
      <c r="C1242" s="3"/>
      <c r="D1242" s="3"/>
      <c r="E1242" s="4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</row>
    <row r="1243" spans="1:29" ht="14.25" customHeight="1" x14ac:dyDescent="0.2">
      <c r="A1243" s="2"/>
      <c r="B1243" s="3"/>
      <c r="C1243" s="3"/>
      <c r="D1243" s="3"/>
      <c r="E1243" s="4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</row>
    <row r="1244" spans="1:29" ht="14.25" customHeight="1" x14ac:dyDescent="0.2">
      <c r="A1244" s="2"/>
      <c r="B1244" s="3"/>
      <c r="C1244" s="3"/>
      <c r="D1244" s="3"/>
      <c r="E1244" s="4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</row>
    <row r="1245" spans="1:29" ht="14.25" customHeight="1" x14ac:dyDescent="0.2">
      <c r="A1245" s="2"/>
      <c r="B1245" s="3"/>
      <c r="C1245" s="3"/>
      <c r="D1245" s="3"/>
      <c r="E1245" s="4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</row>
    <row r="1246" spans="1:29" ht="14.25" customHeight="1" x14ac:dyDescent="0.2">
      <c r="A1246" s="2"/>
      <c r="B1246" s="3"/>
      <c r="C1246" s="3"/>
      <c r="D1246" s="3"/>
      <c r="E1246" s="4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</row>
    <row r="1247" spans="1:29" ht="14.25" customHeight="1" x14ac:dyDescent="0.2">
      <c r="A1247" s="2"/>
      <c r="B1247" s="3"/>
      <c r="C1247" s="3"/>
      <c r="D1247" s="3"/>
      <c r="E1247" s="4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</row>
    <row r="1248" spans="1:29" ht="14.25" customHeight="1" x14ac:dyDescent="0.2">
      <c r="A1248" s="2"/>
      <c r="B1248" s="3"/>
      <c r="C1248" s="3"/>
      <c r="D1248" s="3"/>
      <c r="E1248" s="4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</row>
    <row r="1249" spans="1:29" ht="14.25" customHeight="1" x14ac:dyDescent="0.2">
      <c r="A1249" s="2"/>
      <c r="B1249" s="3"/>
      <c r="C1249" s="3"/>
      <c r="D1249" s="3"/>
      <c r="E1249" s="4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</row>
    <row r="1250" spans="1:29" ht="14.25" customHeight="1" x14ac:dyDescent="0.2">
      <c r="A1250" s="2"/>
      <c r="B1250" s="3"/>
      <c r="C1250" s="3"/>
      <c r="D1250" s="3"/>
      <c r="E1250" s="4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</row>
    <row r="1251" spans="1:29" ht="14.25" customHeight="1" x14ac:dyDescent="0.2">
      <c r="A1251" s="2"/>
      <c r="B1251" s="3"/>
      <c r="C1251" s="3"/>
      <c r="D1251" s="3"/>
      <c r="E1251" s="4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</row>
    <row r="1252" spans="1:29" ht="14.25" customHeight="1" x14ac:dyDescent="0.2">
      <c r="A1252" s="2"/>
      <c r="B1252" s="3"/>
      <c r="C1252" s="3"/>
      <c r="D1252" s="3"/>
      <c r="E1252" s="4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</row>
    <row r="1253" spans="1:29" ht="14.25" customHeight="1" x14ac:dyDescent="0.2">
      <c r="A1253" s="2"/>
      <c r="B1253" s="3"/>
      <c r="C1253" s="3"/>
      <c r="D1253" s="3"/>
      <c r="E1253" s="4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</row>
    <row r="1254" spans="1:29" ht="14.25" customHeight="1" x14ac:dyDescent="0.2">
      <c r="A1254" s="2"/>
      <c r="B1254" s="3"/>
      <c r="C1254" s="3"/>
      <c r="D1254" s="3"/>
      <c r="E1254" s="4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</row>
    <row r="1255" spans="1:29" ht="14.25" customHeight="1" x14ac:dyDescent="0.2">
      <c r="A1255" s="2"/>
      <c r="B1255" s="3"/>
      <c r="C1255" s="3"/>
      <c r="D1255" s="3"/>
      <c r="E1255" s="4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</row>
    <row r="1256" spans="1:29" ht="14.25" customHeight="1" x14ac:dyDescent="0.2">
      <c r="A1256" s="2"/>
      <c r="B1256" s="3"/>
      <c r="C1256" s="3"/>
      <c r="D1256" s="3"/>
      <c r="E1256" s="4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</row>
    <row r="1257" spans="1:29" ht="14.25" customHeight="1" x14ac:dyDescent="0.2">
      <c r="A1257" s="2"/>
      <c r="B1257" s="3"/>
      <c r="C1257" s="3"/>
      <c r="D1257" s="3"/>
      <c r="E1257" s="4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</row>
    <row r="1258" spans="1:29" ht="14.25" customHeight="1" x14ac:dyDescent="0.2">
      <c r="A1258" s="2"/>
      <c r="B1258" s="3"/>
      <c r="C1258" s="3"/>
      <c r="D1258" s="3"/>
      <c r="E1258" s="4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</row>
    <row r="1259" spans="1:29" ht="14.25" customHeight="1" x14ac:dyDescent="0.2">
      <c r="A1259" s="2"/>
      <c r="B1259" s="3"/>
      <c r="C1259" s="3"/>
      <c r="D1259" s="3"/>
      <c r="E1259" s="4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</row>
    <row r="1260" spans="1:29" ht="14.25" customHeight="1" x14ac:dyDescent="0.2">
      <c r="A1260" s="2"/>
      <c r="B1260" s="3"/>
      <c r="C1260" s="3"/>
      <c r="D1260" s="3"/>
      <c r="E1260" s="4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</row>
    <row r="1261" spans="1:29" ht="14.25" customHeight="1" x14ac:dyDescent="0.2">
      <c r="A1261" s="2"/>
      <c r="B1261" s="3"/>
      <c r="C1261" s="3"/>
      <c r="D1261" s="3"/>
      <c r="E1261" s="4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</row>
    <row r="1262" spans="1:29" ht="14.25" customHeight="1" x14ac:dyDescent="0.2">
      <c r="A1262" s="2"/>
      <c r="B1262" s="3"/>
      <c r="C1262" s="3"/>
      <c r="D1262" s="3"/>
      <c r="E1262" s="4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</row>
    <row r="1263" spans="1:29" ht="14.25" customHeight="1" x14ac:dyDescent="0.2">
      <c r="A1263" s="2"/>
      <c r="B1263" s="3"/>
      <c r="C1263" s="3"/>
      <c r="D1263" s="3"/>
      <c r="E1263" s="4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</row>
    <row r="1264" spans="1:29" ht="14.25" customHeight="1" x14ac:dyDescent="0.2">
      <c r="A1264" s="2"/>
      <c r="B1264" s="3"/>
      <c r="C1264" s="3"/>
      <c r="D1264" s="3"/>
      <c r="E1264" s="4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</row>
    <row r="1265" spans="1:29" ht="14.25" customHeight="1" x14ac:dyDescent="0.2">
      <c r="A1265" s="2"/>
      <c r="B1265" s="3"/>
      <c r="C1265" s="3"/>
      <c r="D1265" s="3"/>
      <c r="E1265" s="4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</row>
    <row r="1266" spans="1:29" ht="14.25" customHeight="1" x14ac:dyDescent="0.2">
      <c r="A1266" s="2"/>
      <c r="B1266" s="3"/>
      <c r="C1266" s="3"/>
      <c r="D1266" s="3"/>
      <c r="E1266" s="4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</row>
    <row r="1267" spans="1:29" ht="14.25" customHeight="1" x14ac:dyDescent="0.2">
      <c r="A1267" s="2"/>
      <c r="B1267" s="3"/>
      <c r="C1267" s="3"/>
      <c r="D1267" s="3"/>
      <c r="E1267" s="4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</row>
    <row r="1268" spans="1:29" ht="14.25" customHeight="1" x14ac:dyDescent="0.2">
      <c r="A1268" s="2"/>
      <c r="B1268" s="3"/>
      <c r="C1268" s="3"/>
      <c r="D1268" s="3"/>
      <c r="E1268" s="4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</row>
    <row r="1269" spans="1:29" ht="14.25" customHeight="1" x14ac:dyDescent="0.2">
      <c r="A1269" s="2"/>
      <c r="B1269" s="3"/>
      <c r="C1269" s="3"/>
      <c r="D1269" s="3"/>
      <c r="E1269" s="4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</row>
    <row r="1270" spans="1:29" ht="14.25" customHeight="1" x14ac:dyDescent="0.2">
      <c r="A1270" s="2"/>
      <c r="B1270" s="3"/>
      <c r="C1270" s="3"/>
      <c r="D1270" s="3"/>
      <c r="E1270" s="4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</row>
    <row r="1271" spans="1:29" ht="14.25" customHeight="1" x14ac:dyDescent="0.2">
      <c r="A1271" s="2"/>
      <c r="B1271" s="3"/>
      <c r="C1271" s="3"/>
      <c r="D1271" s="3"/>
      <c r="E1271" s="4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</row>
    <row r="1272" spans="1:29" ht="14.25" customHeight="1" x14ac:dyDescent="0.2">
      <c r="A1272" s="2"/>
      <c r="B1272" s="3"/>
      <c r="C1272" s="3"/>
      <c r="D1272" s="3"/>
      <c r="E1272" s="4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</row>
    <row r="1273" spans="1:29" ht="14.25" customHeight="1" x14ac:dyDescent="0.2">
      <c r="A1273" s="2"/>
      <c r="B1273" s="3"/>
      <c r="C1273" s="3"/>
      <c r="D1273" s="3"/>
      <c r="E1273" s="4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</row>
    <row r="1274" spans="1:29" ht="14.25" customHeight="1" x14ac:dyDescent="0.2">
      <c r="A1274" s="2"/>
      <c r="B1274" s="3"/>
      <c r="C1274" s="3"/>
      <c r="D1274" s="3"/>
      <c r="E1274" s="4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</row>
    <row r="1275" spans="1:29" ht="14.25" customHeight="1" x14ac:dyDescent="0.2">
      <c r="A1275" s="2"/>
      <c r="B1275" s="3"/>
      <c r="C1275" s="3"/>
      <c r="D1275" s="3"/>
      <c r="E1275" s="4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</row>
    <row r="1276" spans="1:29" ht="14.25" customHeight="1" x14ac:dyDescent="0.2">
      <c r="A1276" s="2"/>
      <c r="B1276" s="3"/>
      <c r="C1276" s="3"/>
      <c r="D1276" s="3"/>
      <c r="E1276" s="4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</row>
    <row r="1277" spans="1:29" ht="14.25" customHeight="1" x14ac:dyDescent="0.2">
      <c r="A1277" s="2"/>
      <c r="B1277" s="3"/>
      <c r="C1277" s="3"/>
      <c r="D1277" s="3"/>
      <c r="E1277" s="4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</row>
    <row r="1278" spans="1:29" ht="14.25" customHeight="1" x14ac:dyDescent="0.2">
      <c r="A1278" s="2"/>
      <c r="B1278" s="3"/>
      <c r="C1278" s="3"/>
      <c r="D1278" s="3"/>
      <c r="E1278" s="4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</row>
    <row r="1279" spans="1:29" ht="14.25" customHeight="1" x14ac:dyDescent="0.2">
      <c r="A1279" s="2"/>
      <c r="B1279" s="3"/>
      <c r="C1279" s="3"/>
      <c r="D1279" s="3"/>
      <c r="E1279" s="4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</row>
    <row r="1280" spans="1:29" ht="14.25" customHeight="1" x14ac:dyDescent="0.2">
      <c r="A1280" s="2"/>
      <c r="B1280" s="3"/>
      <c r="C1280" s="3"/>
      <c r="D1280" s="3"/>
      <c r="E1280" s="4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</row>
    <row r="1281" spans="1:29" ht="14.25" customHeight="1" x14ac:dyDescent="0.2">
      <c r="A1281" s="2"/>
      <c r="B1281" s="3"/>
      <c r="C1281" s="3"/>
      <c r="D1281" s="3"/>
      <c r="E1281" s="4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</row>
    <row r="1282" spans="1:29" ht="14.25" customHeight="1" x14ac:dyDescent="0.2">
      <c r="A1282" s="2"/>
      <c r="B1282" s="3"/>
      <c r="C1282" s="3"/>
      <c r="D1282" s="3"/>
      <c r="E1282" s="4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</row>
    <row r="1283" spans="1:29" ht="14.25" customHeight="1" x14ac:dyDescent="0.2">
      <c r="A1283" s="2"/>
      <c r="B1283" s="3"/>
      <c r="C1283" s="3"/>
      <c r="D1283" s="3"/>
      <c r="E1283" s="4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</row>
    <row r="1284" spans="1:29" ht="14.25" customHeight="1" x14ac:dyDescent="0.2">
      <c r="A1284" s="2"/>
      <c r="B1284" s="3"/>
      <c r="C1284" s="3"/>
      <c r="D1284" s="3"/>
      <c r="E1284" s="4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</row>
    <row r="1285" spans="1:29" ht="14.25" customHeight="1" x14ac:dyDescent="0.2">
      <c r="A1285" s="2"/>
      <c r="B1285" s="3"/>
      <c r="C1285" s="3"/>
      <c r="D1285" s="3"/>
      <c r="E1285" s="4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</row>
    <row r="1286" spans="1:29" ht="14.25" customHeight="1" x14ac:dyDescent="0.2">
      <c r="A1286" s="2"/>
      <c r="B1286" s="3"/>
      <c r="C1286" s="3"/>
      <c r="D1286" s="3"/>
      <c r="E1286" s="4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</row>
    <row r="1287" spans="1:29" ht="14.25" customHeight="1" x14ac:dyDescent="0.2">
      <c r="A1287" s="2"/>
      <c r="B1287" s="3"/>
      <c r="C1287" s="3"/>
      <c r="D1287" s="3"/>
      <c r="E1287" s="4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</row>
    <row r="1288" spans="1:29" ht="14.25" customHeight="1" x14ac:dyDescent="0.2">
      <c r="A1288" s="2"/>
      <c r="B1288" s="3"/>
      <c r="C1288" s="3"/>
      <c r="D1288" s="3"/>
      <c r="E1288" s="4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</row>
    <row r="1289" spans="1:29" ht="14.25" customHeight="1" x14ac:dyDescent="0.2">
      <c r="A1289" s="2"/>
      <c r="B1289" s="3"/>
      <c r="C1289" s="3"/>
      <c r="D1289" s="3"/>
      <c r="E1289" s="4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</row>
    <row r="1290" spans="1:29" ht="14.25" customHeight="1" x14ac:dyDescent="0.2">
      <c r="A1290" s="2"/>
      <c r="B1290" s="3"/>
      <c r="C1290" s="3"/>
      <c r="D1290" s="3"/>
      <c r="E1290" s="4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</row>
    <row r="1291" spans="1:29" ht="14.25" customHeight="1" x14ac:dyDescent="0.2">
      <c r="A1291" s="2"/>
      <c r="B1291" s="3"/>
      <c r="C1291" s="3"/>
      <c r="D1291" s="3"/>
      <c r="E1291" s="4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</row>
    <row r="1292" spans="1:29" ht="14.25" customHeight="1" x14ac:dyDescent="0.2">
      <c r="A1292" s="2"/>
      <c r="B1292" s="3"/>
      <c r="C1292" s="3"/>
      <c r="D1292" s="3"/>
      <c r="E1292" s="4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</row>
    <row r="1293" spans="1:29" ht="14.25" customHeight="1" x14ac:dyDescent="0.2">
      <c r="A1293" s="2"/>
      <c r="B1293" s="3"/>
      <c r="C1293" s="3"/>
      <c r="D1293" s="3"/>
      <c r="E1293" s="4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</row>
    <row r="1294" spans="1:29" ht="14.25" customHeight="1" x14ac:dyDescent="0.2">
      <c r="A1294" s="2"/>
      <c r="B1294" s="3"/>
      <c r="C1294" s="3"/>
      <c r="D1294" s="3"/>
      <c r="E1294" s="4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</row>
    <row r="1295" spans="1:29" ht="14.25" customHeight="1" x14ac:dyDescent="0.2">
      <c r="A1295" s="2"/>
      <c r="B1295" s="3"/>
      <c r="C1295" s="3"/>
      <c r="D1295" s="3"/>
      <c r="E1295" s="4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</row>
    <row r="1296" spans="1:29" ht="14.25" customHeight="1" x14ac:dyDescent="0.2">
      <c r="A1296" s="2"/>
      <c r="B1296" s="3"/>
      <c r="C1296" s="3"/>
      <c r="D1296" s="3"/>
      <c r="E1296" s="4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</row>
    <row r="1297" spans="1:29" ht="14.25" customHeight="1" x14ac:dyDescent="0.2">
      <c r="A1297" s="2"/>
      <c r="B1297" s="3"/>
      <c r="C1297" s="3"/>
      <c r="D1297" s="3"/>
      <c r="E1297" s="4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</row>
    <row r="1298" spans="1:29" ht="14.25" customHeight="1" x14ac:dyDescent="0.2">
      <c r="A1298" s="2"/>
      <c r="B1298" s="3"/>
      <c r="C1298" s="3"/>
      <c r="D1298" s="3"/>
      <c r="E1298" s="4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</row>
    <row r="1299" spans="1:29" ht="14.25" customHeight="1" x14ac:dyDescent="0.2">
      <c r="A1299" s="2"/>
      <c r="B1299" s="3"/>
      <c r="C1299" s="3"/>
      <c r="D1299" s="3"/>
      <c r="E1299" s="4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</row>
    <row r="1300" spans="1:29" ht="14.25" customHeight="1" x14ac:dyDescent="0.2">
      <c r="A1300" s="2"/>
      <c r="B1300" s="3"/>
      <c r="C1300" s="3"/>
      <c r="D1300" s="3"/>
      <c r="E1300" s="4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</row>
    <row r="1301" spans="1:29" ht="14.25" customHeight="1" x14ac:dyDescent="0.2">
      <c r="A1301" s="2"/>
      <c r="B1301" s="3"/>
      <c r="C1301" s="3"/>
      <c r="D1301" s="3"/>
      <c r="E1301" s="4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</row>
    <row r="1302" spans="1:29" ht="14.25" customHeight="1" x14ac:dyDescent="0.2">
      <c r="A1302" s="2"/>
      <c r="B1302" s="3"/>
      <c r="C1302" s="3"/>
      <c r="D1302" s="3"/>
      <c r="E1302" s="4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</row>
    <row r="1303" spans="1:29" ht="14.25" customHeight="1" x14ac:dyDescent="0.2">
      <c r="A1303" s="2"/>
      <c r="B1303" s="3"/>
      <c r="C1303" s="3"/>
      <c r="D1303" s="3"/>
      <c r="E1303" s="4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</row>
    <row r="1304" spans="1:29" ht="14.25" customHeight="1" x14ac:dyDescent="0.2">
      <c r="A1304" s="2"/>
      <c r="B1304" s="3"/>
      <c r="C1304" s="3"/>
      <c r="D1304" s="3"/>
      <c r="E1304" s="4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</row>
    <row r="1305" spans="1:29" ht="14.25" customHeight="1" x14ac:dyDescent="0.2">
      <c r="A1305" s="2"/>
      <c r="B1305" s="3"/>
      <c r="C1305" s="3"/>
      <c r="D1305" s="3"/>
      <c r="E1305" s="4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</row>
    <row r="1306" spans="1:29" ht="14.25" customHeight="1" x14ac:dyDescent="0.2">
      <c r="A1306" s="2"/>
      <c r="B1306" s="3"/>
      <c r="C1306" s="3"/>
      <c r="D1306" s="3"/>
      <c r="E1306" s="4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</row>
    <row r="1307" spans="1:29" ht="14.25" customHeight="1" x14ac:dyDescent="0.2">
      <c r="A1307" s="2"/>
      <c r="B1307" s="3"/>
      <c r="C1307" s="3"/>
      <c r="D1307" s="3"/>
      <c r="E1307" s="4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</row>
    <row r="1308" spans="1:29" ht="14.25" customHeight="1" x14ac:dyDescent="0.2">
      <c r="A1308" s="2"/>
      <c r="B1308" s="3"/>
      <c r="C1308" s="3"/>
      <c r="D1308" s="3"/>
      <c r="E1308" s="4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</row>
    <row r="1309" spans="1:29" ht="14.25" customHeight="1" x14ac:dyDescent="0.2">
      <c r="A1309" s="2"/>
      <c r="B1309" s="3"/>
      <c r="C1309" s="3"/>
      <c r="D1309" s="3"/>
      <c r="E1309" s="4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</row>
    <row r="1310" spans="1:29" ht="14.25" customHeight="1" x14ac:dyDescent="0.2">
      <c r="A1310" s="2"/>
      <c r="B1310" s="3"/>
      <c r="C1310" s="3"/>
      <c r="D1310" s="3"/>
      <c r="E1310" s="4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</row>
    <row r="1311" spans="1:29" ht="14.25" customHeight="1" x14ac:dyDescent="0.2">
      <c r="A1311" s="2"/>
      <c r="B1311" s="3"/>
      <c r="C1311" s="3"/>
      <c r="D1311" s="3"/>
      <c r="E1311" s="4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</row>
    <row r="1312" spans="1:29" ht="14.25" customHeight="1" x14ac:dyDescent="0.2">
      <c r="A1312" s="2"/>
      <c r="B1312" s="3"/>
      <c r="C1312" s="3"/>
      <c r="D1312" s="3"/>
      <c r="E1312" s="4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</row>
    <row r="1313" spans="1:29" ht="14.25" customHeight="1" x14ac:dyDescent="0.2">
      <c r="A1313" s="2"/>
      <c r="B1313" s="3"/>
      <c r="C1313" s="3"/>
      <c r="D1313" s="3"/>
      <c r="E1313" s="4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</row>
    <row r="1314" spans="1:29" ht="14.25" customHeight="1" x14ac:dyDescent="0.2">
      <c r="A1314" s="2"/>
      <c r="B1314" s="3"/>
      <c r="C1314" s="3"/>
      <c r="D1314" s="3"/>
      <c r="E1314" s="4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</row>
    <row r="1315" spans="1:29" ht="14.25" customHeight="1" x14ac:dyDescent="0.2">
      <c r="A1315" s="2"/>
      <c r="B1315" s="3"/>
      <c r="C1315" s="3"/>
      <c r="D1315" s="3"/>
      <c r="E1315" s="4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</row>
    <row r="1316" spans="1:29" ht="14.25" customHeight="1" x14ac:dyDescent="0.2">
      <c r="A1316" s="2"/>
      <c r="B1316" s="3"/>
      <c r="C1316" s="3"/>
      <c r="D1316" s="3"/>
      <c r="E1316" s="4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</row>
    <row r="1317" spans="1:29" ht="14.25" customHeight="1" x14ac:dyDescent="0.2">
      <c r="A1317" s="2"/>
      <c r="B1317" s="3"/>
      <c r="C1317" s="3"/>
      <c r="D1317" s="3"/>
      <c r="E1317" s="4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</row>
    <row r="1318" spans="1:29" ht="14.25" customHeight="1" x14ac:dyDescent="0.2">
      <c r="A1318" s="2"/>
      <c r="B1318" s="3"/>
      <c r="C1318" s="3"/>
      <c r="D1318" s="3"/>
      <c r="E1318" s="4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</row>
    <row r="1319" spans="1:29" ht="14.25" customHeight="1" x14ac:dyDescent="0.2">
      <c r="A1319" s="2"/>
      <c r="B1319" s="3"/>
      <c r="C1319" s="3"/>
      <c r="D1319" s="3"/>
      <c r="E1319" s="4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</row>
    <row r="1320" spans="1:29" ht="14.25" customHeight="1" x14ac:dyDescent="0.2">
      <c r="A1320" s="2"/>
      <c r="B1320" s="3"/>
      <c r="C1320" s="3"/>
      <c r="D1320" s="3"/>
      <c r="E1320" s="4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</row>
    <row r="1321" spans="1:29" ht="14.25" customHeight="1" x14ac:dyDescent="0.2">
      <c r="A1321" s="2"/>
      <c r="B1321" s="3"/>
      <c r="C1321" s="3"/>
      <c r="D1321" s="3"/>
      <c r="E1321" s="4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</row>
    <row r="1322" spans="1:29" ht="14.25" customHeight="1" x14ac:dyDescent="0.2">
      <c r="A1322" s="2"/>
      <c r="B1322" s="3"/>
      <c r="C1322" s="3"/>
      <c r="D1322" s="3"/>
      <c r="E1322" s="4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</row>
    <row r="1323" spans="1:29" ht="14.25" customHeight="1" x14ac:dyDescent="0.2">
      <c r="A1323" s="2"/>
      <c r="B1323" s="3"/>
      <c r="C1323" s="3"/>
      <c r="D1323" s="3"/>
      <c r="E1323" s="4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</row>
    <row r="1324" spans="1:29" ht="14.25" customHeight="1" x14ac:dyDescent="0.2">
      <c r="A1324" s="2"/>
      <c r="B1324" s="3"/>
      <c r="C1324" s="3"/>
      <c r="D1324" s="3"/>
      <c r="E1324" s="4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</row>
    <row r="1325" spans="1:29" ht="14.25" customHeight="1" x14ac:dyDescent="0.2">
      <c r="A1325" s="2"/>
      <c r="B1325" s="3"/>
      <c r="C1325" s="3"/>
      <c r="D1325" s="3"/>
      <c r="E1325" s="4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</row>
    <row r="1326" spans="1:29" ht="14.25" customHeight="1" x14ac:dyDescent="0.2">
      <c r="A1326" s="2"/>
      <c r="B1326" s="3"/>
      <c r="C1326" s="3"/>
      <c r="D1326" s="3"/>
      <c r="E1326" s="4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</row>
    <row r="1327" spans="1:29" ht="14.25" customHeight="1" x14ac:dyDescent="0.2">
      <c r="A1327" s="2"/>
      <c r="B1327" s="3"/>
      <c r="C1327" s="3"/>
      <c r="D1327" s="3"/>
      <c r="E1327" s="4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</row>
    <row r="1328" spans="1:29" ht="14.25" customHeight="1" x14ac:dyDescent="0.2">
      <c r="A1328" s="2"/>
      <c r="B1328" s="3"/>
      <c r="C1328" s="3"/>
      <c r="D1328" s="3"/>
      <c r="E1328" s="4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</row>
    <row r="1329" spans="1:29" ht="14.25" customHeight="1" x14ac:dyDescent="0.2">
      <c r="A1329" s="2"/>
      <c r="B1329" s="3"/>
      <c r="C1329" s="3"/>
      <c r="D1329" s="3"/>
      <c r="E1329" s="4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</row>
    <row r="1330" spans="1:29" ht="14.25" customHeight="1" x14ac:dyDescent="0.2">
      <c r="A1330" s="2"/>
      <c r="B1330" s="3"/>
      <c r="C1330" s="3"/>
      <c r="D1330" s="3"/>
      <c r="E1330" s="4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</row>
    <row r="1331" spans="1:29" ht="14.25" customHeight="1" x14ac:dyDescent="0.2">
      <c r="A1331" s="2"/>
      <c r="B1331" s="3"/>
      <c r="C1331" s="3"/>
      <c r="D1331" s="3"/>
      <c r="E1331" s="4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</row>
    <row r="1332" spans="1:29" ht="14.25" customHeight="1" x14ac:dyDescent="0.2">
      <c r="A1332" s="2"/>
      <c r="B1332" s="3"/>
      <c r="C1332" s="3"/>
      <c r="D1332" s="3"/>
      <c r="E1332" s="4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</row>
    <row r="1333" spans="1:29" ht="14.25" customHeight="1" x14ac:dyDescent="0.2">
      <c r="A1333" s="2"/>
      <c r="B1333" s="3"/>
      <c r="C1333" s="3"/>
      <c r="D1333" s="3"/>
      <c r="E1333" s="4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</row>
    <row r="1334" spans="1:29" ht="14.25" customHeight="1" x14ac:dyDescent="0.2">
      <c r="A1334" s="2"/>
      <c r="B1334" s="3"/>
      <c r="C1334" s="3"/>
      <c r="D1334" s="3"/>
      <c r="E1334" s="4"/>
      <c r="F1334" s="2"/>
      <c r="G1334" s="2"/>
      <c r="H1334" s="2"/>
      <c r="I1334" s="2"/>
      <c r="J1334" s="2"/>
      <c r="K1334" s="2"/>
    </row>
    <row r="1335" spans="1:29" ht="14.25" customHeight="1" x14ac:dyDescent="0.2">
      <c r="A1335" s="2"/>
      <c r="B1335" s="3"/>
      <c r="C1335" s="3"/>
      <c r="D1335" s="3"/>
      <c r="E1335" s="4"/>
      <c r="F1335" s="2"/>
      <c r="G1335" s="2"/>
      <c r="H1335" s="2"/>
      <c r="I1335" s="2"/>
      <c r="J1335" s="2"/>
      <c r="K1335" s="2"/>
    </row>
    <row r="1336" spans="1:29" ht="14.25" customHeight="1" x14ac:dyDescent="0.2">
      <c r="A1336" s="2"/>
      <c r="B1336" s="3"/>
      <c r="C1336" s="3"/>
      <c r="D1336" s="3"/>
      <c r="E1336" s="4"/>
      <c r="F1336" s="2"/>
      <c r="G1336" s="2"/>
      <c r="H1336" s="2"/>
      <c r="I1336" s="2"/>
      <c r="J1336" s="2"/>
      <c r="K1336" s="2"/>
    </row>
    <row r="1337" spans="1:29" ht="14.25" customHeight="1" x14ac:dyDescent="0.2"/>
    <row r="1338" spans="1:29" ht="14.25" customHeight="1" x14ac:dyDescent="0.2"/>
    <row r="1339" spans="1:29" ht="14.25" customHeight="1" x14ac:dyDescent="0.2"/>
    <row r="1340" spans="1:29" ht="14.25" customHeight="1" x14ac:dyDescent="0.2"/>
    <row r="1341" spans="1:29" ht="14.25" customHeight="1" x14ac:dyDescent="0.2"/>
    <row r="1342" spans="1:29" ht="14.25" customHeight="1" x14ac:dyDescent="0.2"/>
    <row r="1343" spans="1:29" ht="14.25" customHeight="1" x14ac:dyDescent="0.2"/>
    <row r="1344" spans="1:29" ht="14.25" customHeight="1" x14ac:dyDescent="0.2"/>
    <row r="1345" ht="14.25" customHeight="1" x14ac:dyDescent="0.2"/>
    <row r="1346" ht="14.25" customHeight="1" x14ac:dyDescent="0.2"/>
    <row r="1347" ht="14.25" customHeight="1" x14ac:dyDescent="0.2"/>
    <row r="1348" ht="14.25" customHeight="1" x14ac:dyDescent="0.2"/>
    <row r="1349" ht="14.25" customHeight="1" x14ac:dyDescent="0.2"/>
    <row r="1350" ht="14.25" customHeight="1" x14ac:dyDescent="0.2"/>
    <row r="1351" ht="14.25" customHeight="1" x14ac:dyDescent="0.2"/>
    <row r="1352" ht="14.25" customHeight="1" x14ac:dyDescent="0.2"/>
    <row r="1353" ht="14.25" customHeight="1" x14ac:dyDescent="0.2"/>
    <row r="1354" ht="14.25" customHeight="1" x14ac:dyDescent="0.2"/>
    <row r="1355" ht="14.25" customHeight="1" x14ac:dyDescent="0.2"/>
    <row r="1356" ht="14.25" customHeight="1" x14ac:dyDescent="0.2"/>
    <row r="1357" ht="14.25" customHeight="1" x14ac:dyDescent="0.2"/>
    <row r="1358" ht="14.25" customHeight="1" x14ac:dyDescent="0.2"/>
    <row r="1359" ht="14.25" customHeight="1" x14ac:dyDescent="0.2"/>
    <row r="1360" ht="14.25" customHeight="1" x14ac:dyDescent="0.2"/>
    <row r="1361" ht="14.25" customHeight="1" x14ac:dyDescent="0.2"/>
    <row r="1362" ht="14.25" customHeight="1" x14ac:dyDescent="0.2"/>
    <row r="1363" ht="14.25" customHeight="1" x14ac:dyDescent="0.2"/>
    <row r="1364" ht="14.25" customHeight="1" x14ac:dyDescent="0.2"/>
    <row r="1365" ht="14.25" customHeight="1" x14ac:dyDescent="0.2"/>
    <row r="1366" ht="14.25" customHeight="1" x14ac:dyDescent="0.2"/>
    <row r="1367" ht="14.25" customHeight="1" x14ac:dyDescent="0.2"/>
    <row r="1368" ht="14.25" customHeight="1" x14ac:dyDescent="0.2"/>
    <row r="1369" ht="14.25" customHeight="1" x14ac:dyDescent="0.2"/>
    <row r="1370" ht="14.25" customHeight="1" x14ac:dyDescent="0.2"/>
    <row r="1371" ht="14.25" customHeight="1" x14ac:dyDescent="0.2"/>
    <row r="1372" ht="14.25" customHeight="1" x14ac:dyDescent="0.2"/>
    <row r="1373" ht="14.25" customHeight="1" x14ac:dyDescent="0.2"/>
    <row r="1374" ht="14.25" customHeight="1" x14ac:dyDescent="0.2"/>
    <row r="1375" ht="14.25" customHeight="1" x14ac:dyDescent="0.2"/>
    <row r="1376" ht="14.25" customHeight="1" x14ac:dyDescent="0.2"/>
    <row r="1377" ht="14.25" customHeight="1" x14ac:dyDescent="0.2"/>
    <row r="1378" ht="14.25" customHeight="1" x14ac:dyDescent="0.2"/>
  </sheetData>
  <mergeCells count="138">
    <mergeCell ref="A443:B443"/>
    <mergeCell ref="D260:D261"/>
    <mergeCell ref="D262:D264"/>
    <mergeCell ref="D200:D202"/>
    <mergeCell ref="E443:K443"/>
    <mergeCell ref="A440:B440"/>
    <mergeCell ref="A441:B441"/>
    <mergeCell ref="D183:D185"/>
    <mergeCell ref="D79:D80"/>
    <mergeCell ref="D204:D205"/>
    <mergeCell ref="D217:D220"/>
    <mergeCell ref="D98:D99"/>
    <mergeCell ref="D269:D270"/>
    <mergeCell ref="D281:D282"/>
    <mergeCell ref="D303:D304"/>
    <mergeCell ref="D335:D343"/>
    <mergeCell ref="D294:D296"/>
    <mergeCell ref="A285:J285"/>
    <mergeCell ref="A327:J327"/>
    <mergeCell ref="E446:K446"/>
    <mergeCell ref="A447:B447"/>
    <mergeCell ref="E447:K447"/>
    <mergeCell ref="A16:K16"/>
    <mergeCell ref="A424:J424"/>
    <mergeCell ref="A427:J427"/>
    <mergeCell ref="A429:J429"/>
    <mergeCell ref="A431:J431"/>
    <mergeCell ref="A433:J433"/>
    <mergeCell ref="A435:J435"/>
    <mergeCell ref="D358:D400"/>
    <mergeCell ref="D402:D412"/>
    <mergeCell ref="D413:D423"/>
    <mergeCell ref="E439:K439"/>
    <mergeCell ref="E440:K440"/>
    <mergeCell ref="E441:K441"/>
    <mergeCell ref="E442:K442"/>
    <mergeCell ref="A446:B446"/>
    <mergeCell ref="A445:B445"/>
    <mergeCell ref="E445:K445"/>
    <mergeCell ref="A442:B442"/>
    <mergeCell ref="A444:B444"/>
    <mergeCell ref="E444:K444"/>
    <mergeCell ref="A439:B439"/>
    <mergeCell ref="A13:K13"/>
    <mergeCell ref="D67:D69"/>
    <mergeCell ref="D87:D97"/>
    <mergeCell ref="D60:D62"/>
    <mergeCell ref="D156:D157"/>
    <mergeCell ref="D191:D193"/>
    <mergeCell ref="D333:D334"/>
    <mergeCell ref="D314:D315"/>
    <mergeCell ref="A438:K438"/>
    <mergeCell ref="A14:A15"/>
    <mergeCell ref="B14:B15"/>
    <mergeCell ref="C14:C15"/>
    <mergeCell ref="D14:D15"/>
    <mergeCell ref="E14:E15"/>
    <mergeCell ref="D19:D24"/>
    <mergeCell ref="D25:D27"/>
    <mergeCell ref="D29:D31"/>
    <mergeCell ref="D33:D35"/>
    <mergeCell ref="D36:D37"/>
    <mergeCell ref="D208:D209"/>
    <mergeCell ref="F14:F15"/>
    <mergeCell ref="G14:K14"/>
    <mergeCell ref="A17:K17"/>
    <mergeCell ref="N425:O425"/>
    <mergeCell ref="A425:K425"/>
    <mergeCell ref="D318:D319"/>
    <mergeCell ref="D330:D331"/>
    <mergeCell ref="D171:D173"/>
    <mergeCell ref="D174:D178"/>
    <mergeCell ref="D195:D197"/>
    <mergeCell ref="D307:D308"/>
    <mergeCell ref="D250:D252"/>
    <mergeCell ref="D232:D233"/>
    <mergeCell ref="D181:D182"/>
    <mergeCell ref="D206:D207"/>
    <mergeCell ref="D225:D226"/>
    <mergeCell ref="D212:D213"/>
    <mergeCell ref="D223:D224"/>
    <mergeCell ref="D229:D231"/>
    <mergeCell ref="D316:D317"/>
    <mergeCell ref="D240:D241"/>
    <mergeCell ref="D187:D188"/>
    <mergeCell ref="D189:D190"/>
    <mergeCell ref="A329:J329"/>
    <mergeCell ref="D344:D347"/>
    <mergeCell ref="D215:D216"/>
    <mergeCell ref="D245:D246"/>
    <mergeCell ref="A5:C5"/>
    <mergeCell ref="D118:D120"/>
    <mergeCell ref="D121:D123"/>
    <mergeCell ref="D101:D106"/>
    <mergeCell ref="D109:D110"/>
    <mergeCell ref="D124:D125"/>
    <mergeCell ref="D152:D153"/>
    <mergeCell ref="D129:D130"/>
    <mergeCell ref="D131:D140"/>
    <mergeCell ref="A6:C6"/>
    <mergeCell ref="A7:C7"/>
    <mergeCell ref="A10:C10"/>
    <mergeCell ref="A9:C9"/>
    <mergeCell ref="A8:C8"/>
    <mergeCell ref="D81:D83"/>
    <mergeCell ref="A12:K12"/>
    <mergeCell ref="D38:D39"/>
    <mergeCell ref="D40:D41"/>
    <mergeCell ref="D47:D49"/>
    <mergeCell ref="D143:D145"/>
    <mergeCell ref="D147:D149"/>
    <mergeCell ref="D150:D151"/>
    <mergeCell ref="D107:D108"/>
    <mergeCell ref="D114:D116"/>
    <mergeCell ref="D1:K1"/>
    <mergeCell ref="D56:D58"/>
    <mergeCell ref="D311:D312"/>
    <mergeCell ref="D325:D326"/>
    <mergeCell ref="D43:D45"/>
    <mergeCell ref="D237:D239"/>
    <mergeCell ref="D266:D268"/>
    <mergeCell ref="D300:D302"/>
    <mergeCell ref="D253:D255"/>
    <mergeCell ref="D248:D249"/>
    <mergeCell ref="D305:D306"/>
    <mergeCell ref="D276:D278"/>
    <mergeCell ref="D77:D78"/>
    <mergeCell ref="D51:D55"/>
    <mergeCell ref="D256:D257"/>
    <mergeCell ref="D272:D273"/>
    <mergeCell ref="D65:D66"/>
    <mergeCell ref="D179:D180"/>
    <mergeCell ref="D158:D159"/>
    <mergeCell ref="D234:D235"/>
    <mergeCell ref="D243:D244"/>
    <mergeCell ref="D169:D170"/>
    <mergeCell ref="D160:D165"/>
    <mergeCell ref="D210:D211"/>
  </mergeCells>
  <phoneticPr fontId="24" type="noConversion"/>
  <pageMargins left="0.23622047244094491" right="0.23622047244094491" top="0.74803149606299213" bottom="0.74803149606299213" header="0" footer="0"/>
  <pageSetup paperSize="9" scale="43" fitToHeight="0" orientation="portrait" r:id="rId1"/>
  <headerFooter>
    <oddFooter>&amp;R&amp;P de</oddFooter>
  </headerFooter>
  <rowBreaks count="1" manualBreakCount="1">
    <brk id="57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outlinePr summaryBelow="0" summaryRight="0"/>
    <pageSetUpPr fitToPage="1"/>
  </sheetPr>
  <dimension ref="A1:Z187"/>
  <sheetViews>
    <sheetView showGridLines="0" topLeftCell="A163" zoomScaleNormal="100" workbookViewId="0">
      <selection activeCell="D182" sqref="D182:F182"/>
    </sheetView>
  </sheetViews>
  <sheetFormatPr defaultColWidth="12.625" defaultRowHeight="15" customHeight="1" x14ac:dyDescent="0.2"/>
  <cols>
    <col min="1" max="1" width="13.625" customWidth="1"/>
    <col min="2" max="2" width="69.75" customWidth="1"/>
    <col min="3" max="3" width="9" customWidth="1"/>
    <col min="4" max="4" width="12.75" customWidth="1"/>
    <col min="5" max="5" width="13.75" customWidth="1"/>
    <col min="6" max="6" width="14.375" customWidth="1"/>
  </cols>
  <sheetData>
    <row r="1" spans="1:7" s="251" customFormat="1" ht="15" customHeight="1" x14ac:dyDescent="0.2">
      <c r="A1" s="284"/>
      <c r="B1" s="266"/>
      <c r="C1" s="266"/>
      <c r="D1" s="266"/>
      <c r="E1" s="266"/>
      <c r="F1" s="274"/>
    </row>
    <row r="2" spans="1:7" s="251" customFormat="1" ht="15" customHeight="1" x14ac:dyDescent="0.2">
      <c r="A2" s="285"/>
      <c r="B2" s="286" t="s">
        <v>986</v>
      </c>
      <c r="C2" s="268"/>
      <c r="D2" s="268"/>
      <c r="E2" s="268"/>
      <c r="F2" s="287"/>
      <c r="G2" s="281"/>
    </row>
    <row r="3" spans="1:7" s="251" customFormat="1" ht="15" customHeight="1" x14ac:dyDescent="0.2">
      <c r="A3" s="285"/>
      <c r="B3" s="286" t="s">
        <v>987</v>
      </c>
      <c r="C3" s="268"/>
      <c r="D3" s="268"/>
      <c r="E3" s="268"/>
      <c r="F3" s="287"/>
      <c r="G3" s="281"/>
    </row>
    <row r="4" spans="1:7" s="251" customFormat="1" ht="15" customHeight="1" x14ac:dyDescent="0.2">
      <c r="A4" s="285"/>
      <c r="B4" s="286" t="s">
        <v>988</v>
      </c>
      <c r="C4" s="268"/>
      <c r="D4" s="268"/>
      <c r="E4" s="268"/>
      <c r="F4" s="287"/>
      <c r="G4" s="281"/>
    </row>
    <row r="5" spans="1:7" s="251" customFormat="1" ht="15" customHeight="1" x14ac:dyDescent="0.2">
      <c r="A5" s="285"/>
      <c r="B5" s="268"/>
      <c r="C5" s="268"/>
      <c r="D5" s="268"/>
      <c r="E5" s="268"/>
      <c r="F5" s="275"/>
    </row>
    <row r="6" spans="1:7" s="251" customFormat="1" ht="19.5" x14ac:dyDescent="0.3">
      <c r="A6" s="479" t="s">
        <v>1035</v>
      </c>
      <c r="B6" s="480"/>
      <c r="C6" s="480"/>
      <c r="D6" s="480"/>
      <c r="E6" s="480"/>
      <c r="F6" s="481"/>
    </row>
    <row r="7" spans="1:7" s="251" customFormat="1" ht="15" customHeight="1" x14ac:dyDescent="0.2">
      <c r="A7" s="482" t="s">
        <v>1008</v>
      </c>
      <c r="B7" s="483"/>
      <c r="C7" s="483"/>
      <c r="D7" s="483"/>
      <c r="E7" s="483"/>
      <c r="F7" s="484"/>
    </row>
    <row r="8" spans="1:7" s="251" customFormat="1" ht="15" customHeight="1" x14ac:dyDescent="0.2">
      <c r="A8" s="294"/>
      <c r="B8" s="293"/>
      <c r="C8" s="293"/>
      <c r="D8" s="293"/>
      <c r="E8" s="293"/>
      <c r="F8" s="293"/>
    </row>
    <row r="9" spans="1:7" ht="15.75" x14ac:dyDescent="0.2">
      <c r="A9" s="282">
        <v>1</v>
      </c>
      <c r="B9" s="283" t="s">
        <v>507</v>
      </c>
      <c r="C9" s="478" t="s">
        <v>332</v>
      </c>
      <c r="D9" s="445"/>
      <c r="E9" s="282" t="s">
        <v>333</v>
      </c>
      <c r="F9" s="282" t="s">
        <v>347</v>
      </c>
    </row>
    <row r="10" spans="1:7" ht="15" customHeight="1" x14ac:dyDescent="0.2">
      <c r="A10" s="68" t="s">
        <v>334</v>
      </c>
      <c r="B10" s="68" t="s">
        <v>335</v>
      </c>
      <c r="C10" s="68" t="s">
        <v>336</v>
      </c>
      <c r="D10" s="68" t="s">
        <v>337</v>
      </c>
      <c r="E10" s="68" t="s">
        <v>338</v>
      </c>
      <c r="F10" s="68" t="s">
        <v>329</v>
      </c>
    </row>
    <row r="11" spans="1:7" ht="15.75" x14ac:dyDescent="0.25">
      <c r="A11" s="69" t="s">
        <v>472</v>
      </c>
      <c r="B11" s="70" t="s">
        <v>448</v>
      </c>
      <c r="C11" s="69" t="s">
        <v>342</v>
      </c>
      <c r="D11" s="69">
        <v>0.43</v>
      </c>
      <c r="E11" s="71">
        <v>27.36</v>
      </c>
      <c r="F11" s="49">
        <f t="shared" ref="F11:F14" si="0">E11*D11</f>
        <v>11.764799999999999</v>
      </c>
    </row>
    <row r="12" spans="1:7" ht="30.75" x14ac:dyDescent="0.25">
      <c r="A12" s="69" t="s">
        <v>473</v>
      </c>
      <c r="B12" s="70" t="s">
        <v>476</v>
      </c>
      <c r="C12" s="69" t="s">
        <v>478</v>
      </c>
      <c r="D12" s="69">
        <v>0.43</v>
      </c>
      <c r="E12" s="71">
        <v>0.82</v>
      </c>
      <c r="F12" s="49">
        <f t="shared" si="0"/>
        <v>0.35259999999999997</v>
      </c>
    </row>
    <row r="13" spans="1:7" ht="60.75" x14ac:dyDescent="0.25">
      <c r="A13" s="69" t="s">
        <v>504</v>
      </c>
      <c r="B13" s="70" t="s">
        <v>505</v>
      </c>
      <c r="C13" s="69" t="s">
        <v>506</v>
      </c>
      <c r="D13" s="69">
        <v>0.08</v>
      </c>
      <c r="E13" s="71">
        <v>619.1</v>
      </c>
      <c r="F13" s="49">
        <f t="shared" si="0"/>
        <v>49.528000000000006</v>
      </c>
    </row>
    <row r="14" spans="1:7" ht="15.75" x14ac:dyDescent="0.25">
      <c r="A14" s="69" t="s">
        <v>474</v>
      </c>
      <c r="B14" s="70" t="s">
        <v>358</v>
      </c>
      <c r="C14" s="69" t="s">
        <v>342</v>
      </c>
      <c r="D14" s="69">
        <v>0.23</v>
      </c>
      <c r="E14" s="71">
        <v>20.14</v>
      </c>
      <c r="F14" s="49">
        <f t="shared" si="0"/>
        <v>4.6322000000000001</v>
      </c>
    </row>
    <row r="15" spans="1:7" ht="15.75" x14ac:dyDescent="0.25">
      <c r="A15" s="69"/>
      <c r="B15" s="70"/>
      <c r="C15" s="69"/>
      <c r="D15" s="69"/>
      <c r="E15" s="71"/>
      <c r="F15" s="71"/>
    </row>
    <row r="16" spans="1:7" ht="15.75" x14ac:dyDescent="0.25">
      <c r="A16" s="73"/>
      <c r="B16" s="74" t="s">
        <v>344</v>
      </c>
      <c r="C16" s="73"/>
      <c r="D16" s="73"/>
      <c r="E16" s="75" t="s">
        <v>329</v>
      </c>
      <c r="F16" s="76">
        <f>SUM(F11:F15)</f>
        <v>66.277600000000007</v>
      </c>
      <c r="G16" s="77" t="s">
        <v>345</v>
      </c>
    </row>
    <row r="17" spans="1:7" ht="78.75" x14ac:dyDescent="0.2">
      <c r="A17" s="66">
        <v>2</v>
      </c>
      <c r="B17" s="67" t="s">
        <v>444</v>
      </c>
      <c r="C17" s="477" t="s">
        <v>332</v>
      </c>
      <c r="D17" s="426"/>
      <c r="E17" s="66" t="s">
        <v>333</v>
      </c>
      <c r="F17" s="66" t="s">
        <v>8</v>
      </c>
    </row>
    <row r="18" spans="1:7" ht="14.25" x14ac:dyDescent="0.2">
      <c r="A18" s="68" t="s">
        <v>334</v>
      </c>
      <c r="B18" s="68" t="s">
        <v>335</v>
      </c>
      <c r="C18" s="68" t="s">
        <v>336</v>
      </c>
      <c r="D18" s="68" t="s">
        <v>337</v>
      </c>
      <c r="E18" s="68" t="s">
        <v>338</v>
      </c>
      <c r="F18" s="68" t="s">
        <v>329</v>
      </c>
    </row>
    <row r="19" spans="1:7" ht="30" x14ac:dyDescent="0.2">
      <c r="A19" s="6" t="s">
        <v>339</v>
      </c>
      <c r="B19" s="78" t="s">
        <v>346</v>
      </c>
      <c r="C19" s="6" t="s">
        <v>347</v>
      </c>
      <c r="D19" s="6">
        <v>6</v>
      </c>
      <c r="E19" s="49">
        <v>19</v>
      </c>
      <c r="F19" s="49">
        <f t="shared" ref="F19:F21" si="1">E19*D19</f>
        <v>114</v>
      </c>
    </row>
    <row r="20" spans="1:7" ht="45" x14ac:dyDescent="0.2">
      <c r="A20" s="6" t="s">
        <v>341</v>
      </c>
      <c r="B20" s="78" t="s">
        <v>348</v>
      </c>
      <c r="C20" s="6" t="s">
        <v>8</v>
      </c>
      <c r="D20" s="6">
        <v>1</v>
      </c>
      <c r="E20" s="49">
        <v>88.43</v>
      </c>
      <c r="F20" s="49">
        <f t="shared" si="1"/>
        <v>88.43</v>
      </c>
    </row>
    <row r="21" spans="1:7" ht="30" x14ac:dyDescent="0.2">
      <c r="A21" s="6" t="s">
        <v>341</v>
      </c>
      <c r="B21" s="78" t="s">
        <v>349</v>
      </c>
      <c r="C21" s="6" t="s">
        <v>8</v>
      </c>
      <c r="D21" s="6">
        <v>1</v>
      </c>
      <c r="E21" s="49">
        <v>217.25</v>
      </c>
      <c r="F21" s="49">
        <f t="shared" si="1"/>
        <v>217.25</v>
      </c>
    </row>
    <row r="22" spans="1:7" ht="15.75" x14ac:dyDescent="0.25">
      <c r="B22" s="74" t="s">
        <v>344</v>
      </c>
      <c r="E22" s="75" t="s">
        <v>329</v>
      </c>
      <c r="F22" s="76">
        <f>SUM(F19:F21)</f>
        <v>419.68</v>
      </c>
      <c r="G22" s="77" t="s">
        <v>345</v>
      </c>
    </row>
    <row r="23" spans="1:7" ht="78.75" x14ac:dyDescent="0.2">
      <c r="A23" s="66">
        <v>3</v>
      </c>
      <c r="B23" s="67" t="s">
        <v>350</v>
      </c>
      <c r="C23" s="477" t="s">
        <v>332</v>
      </c>
      <c r="D23" s="426"/>
      <c r="E23" s="66" t="s">
        <v>333</v>
      </c>
      <c r="F23" s="66" t="s">
        <v>8</v>
      </c>
    </row>
    <row r="24" spans="1:7" ht="15" customHeight="1" x14ac:dyDescent="0.2">
      <c r="A24" s="68" t="s">
        <v>334</v>
      </c>
      <c r="B24" s="68" t="s">
        <v>335</v>
      </c>
      <c r="C24" s="68" t="s">
        <v>336</v>
      </c>
      <c r="D24" s="68" t="s">
        <v>337</v>
      </c>
      <c r="E24" s="68" t="s">
        <v>338</v>
      </c>
      <c r="F24" s="68" t="s">
        <v>329</v>
      </c>
    </row>
    <row r="25" spans="1:7" ht="75" x14ac:dyDescent="0.2">
      <c r="A25" s="6" t="s">
        <v>341</v>
      </c>
      <c r="B25" s="78" t="s">
        <v>350</v>
      </c>
      <c r="C25" s="6" t="s">
        <v>47</v>
      </c>
      <c r="D25" s="6">
        <v>1</v>
      </c>
      <c r="E25" s="79">
        <v>750</v>
      </c>
      <c r="F25" s="49">
        <v>750</v>
      </c>
    </row>
    <row r="26" spans="1:7" ht="15.75" x14ac:dyDescent="0.25">
      <c r="B26" s="74" t="s">
        <v>351</v>
      </c>
      <c r="E26" s="75" t="s">
        <v>329</v>
      </c>
      <c r="F26" s="76">
        <f>SUM(F24:F25)</f>
        <v>750</v>
      </c>
      <c r="G26" s="77" t="s">
        <v>345</v>
      </c>
    </row>
    <row r="27" spans="1:7" ht="15.75" x14ac:dyDescent="0.2">
      <c r="A27" s="66">
        <v>4</v>
      </c>
      <c r="B27" s="67" t="s">
        <v>352</v>
      </c>
      <c r="C27" s="477" t="s">
        <v>332</v>
      </c>
      <c r="D27" s="426"/>
      <c r="E27" s="66" t="s">
        <v>333</v>
      </c>
      <c r="F27" s="66" t="s">
        <v>8</v>
      </c>
    </row>
    <row r="28" spans="1:7" ht="15" customHeight="1" x14ac:dyDescent="0.2">
      <c r="A28" s="68" t="s">
        <v>334</v>
      </c>
      <c r="B28" s="68" t="s">
        <v>335</v>
      </c>
      <c r="C28" s="68" t="s">
        <v>336</v>
      </c>
      <c r="D28" s="68" t="s">
        <v>337</v>
      </c>
      <c r="E28" s="68" t="s">
        <v>338</v>
      </c>
      <c r="F28" s="68" t="s">
        <v>329</v>
      </c>
    </row>
    <row r="29" spans="1:7" x14ac:dyDescent="0.2">
      <c r="A29" s="6" t="s">
        <v>341</v>
      </c>
      <c r="B29" s="78" t="s">
        <v>353</v>
      </c>
      <c r="C29" s="6" t="s">
        <v>47</v>
      </c>
      <c r="D29" s="6">
        <v>1</v>
      </c>
      <c r="E29" s="79">
        <v>250</v>
      </c>
      <c r="F29" s="49">
        <v>250</v>
      </c>
    </row>
    <row r="30" spans="1:7" ht="15.75" x14ac:dyDescent="0.25">
      <c r="A30" s="68"/>
      <c r="B30" s="74" t="s">
        <v>351</v>
      </c>
      <c r="C30" s="68"/>
      <c r="D30" s="68"/>
      <c r="E30" s="75" t="s">
        <v>329</v>
      </c>
      <c r="F30" s="76">
        <f>SUM(F28:F29)</f>
        <v>250</v>
      </c>
      <c r="G30" s="77" t="s">
        <v>345</v>
      </c>
    </row>
    <row r="31" spans="1:7" ht="31.5" x14ac:dyDescent="0.2">
      <c r="A31" s="66">
        <v>5</v>
      </c>
      <c r="B31" s="67" t="s">
        <v>284</v>
      </c>
      <c r="C31" s="477" t="s">
        <v>332</v>
      </c>
      <c r="D31" s="426"/>
      <c r="E31" s="66" t="s">
        <v>333</v>
      </c>
      <c r="F31" s="66" t="s">
        <v>8</v>
      </c>
    </row>
    <row r="32" spans="1:7" ht="14.25" x14ac:dyDescent="0.2">
      <c r="A32" s="68" t="s">
        <v>334</v>
      </c>
      <c r="B32" s="68" t="s">
        <v>335</v>
      </c>
      <c r="C32" s="68" t="s">
        <v>336</v>
      </c>
      <c r="D32" s="68" t="s">
        <v>337</v>
      </c>
      <c r="E32" s="68" t="s">
        <v>338</v>
      </c>
      <c r="F32" s="68" t="s">
        <v>329</v>
      </c>
    </row>
    <row r="33" spans="1:7" ht="30" x14ac:dyDescent="0.2">
      <c r="A33" s="6" t="s">
        <v>341</v>
      </c>
      <c r="B33" s="78" t="s">
        <v>354</v>
      </c>
      <c r="C33" s="6" t="s">
        <v>8</v>
      </c>
      <c r="D33" s="6">
        <v>1</v>
      </c>
      <c r="E33" s="49">
        <v>478.74</v>
      </c>
      <c r="F33" s="49">
        <f t="shared" ref="F33:F34" si="2">E33*D33</f>
        <v>478.74</v>
      </c>
    </row>
    <row r="34" spans="1:7" ht="15.75" x14ac:dyDescent="0.25">
      <c r="A34" s="69">
        <v>88247</v>
      </c>
      <c r="B34" s="70" t="s">
        <v>355</v>
      </c>
      <c r="C34" s="69" t="s">
        <v>342</v>
      </c>
      <c r="D34" s="69">
        <v>0.1479963</v>
      </c>
      <c r="E34" s="71">
        <v>34.729999999999997</v>
      </c>
      <c r="F34" s="71">
        <f t="shared" si="2"/>
        <v>5.1399114989999992</v>
      </c>
    </row>
    <row r="35" spans="1:7" ht="15.75" x14ac:dyDescent="0.25">
      <c r="A35" s="69">
        <v>88264</v>
      </c>
      <c r="B35" s="70" t="s">
        <v>356</v>
      </c>
      <c r="C35" s="69" t="s">
        <v>342</v>
      </c>
      <c r="D35" s="69">
        <v>1.3321000000000001</v>
      </c>
      <c r="E35" s="71">
        <v>41.73</v>
      </c>
      <c r="F35" s="71">
        <f>E35*D35</f>
        <v>55.588532999999998</v>
      </c>
    </row>
    <row r="36" spans="1:7" ht="15.75" x14ac:dyDescent="0.25">
      <c r="B36" s="74" t="s">
        <v>344</v>
      </c>
      <c r="E36" s="75" t="s">
        <v>329</v>
      </c>
      <c r="F36" s="76">
        <f>SUM(F33:F35)</f>
        <v>539.46844449900004</v>
      </c>
      <c r="G36" s="77" t="s">
        <v>345</v>
      </c>
    </row>
    <row r="37" spans="1:7" ht="31.5" x14ac:dyDescent="0.2">
      <c r="A37" s="66">
        <v>6</v>
      </c>
      <c r="B37" s="67" t="s">
        <v>314</v>
      </c>
      <c r="C37" s="477" t="s">
        <v>332</v>
      </c>
      <c r="D37" s="426"/>
      <c r="E37" s="66" t="s">
        <v>333</v>
      </c>
      <c r="F37" s="66" t="s">
        <v>8</v>
      </c>
    </row>
    <row r="38" spans="1:7" ht="14.25" x14ac:dyDescent="0.2">
      <c r="A38" s="68" t="s">
        <v>334</v>
      </c>
      <c r="B38" s="68" t="s">
        <v>335</v>
      </c>
      <c r="C38" s="68" t="s">
        <v>336</v>
      </c>
      <c r="D38" s="68" t="s">
        <v>337</v>
      </c>
      <c r="E38" s="68" t="s">
        <v>338</v>
      </c>
      <c r="F38" s="68" t="s">
        <v>329</v>
      </c>
    </row>
    <row r="39" spans="1:7" ht="30" x14ac:dyDescent="0.2">
      <c r="A39" s="6" t="s">
        <v>341</v>
      </c>
      <c r="B39" s="78" t="s">
        <v>357</v>
      </c>
      <c r="C39" s="6" t="s">
        <v>8</v>
      </c>
      <c r="D39" s="6">
        <v>1</v>
      </c>
      <c r="E39" s="49">
        <v>629.70000000000005</v>
      </c>
      <c r="F39" s="49">
        <f t="shared" ref="F39:F41" si="3">E39*D39</f>
        <v>629.70000000000005</v>
      </c>
    </row>
    <row r="40" spans="1:7" ht="15.75" x14ac:dyDescent="0.25">
      <c r="A40" s="69">
        <v>88316</v>
      </c>
      <c r="B40" s="70" t="s">
        <v>358</v>
      </c>
      <c r="C40" s="69" t="s">
        <v>342</v>
      </c>
      <c r="D40" s="69">
        <v>1.8</v>
      </c>
      <c r="E40" s="71">
        <v>34.700000000000003</v>
      </c>
      <c r="F40" s="71">
        <f t="shared" si="3"/>
        <v>62.460000000000008</v>
      </c>
    </row>
    <row r="41" spans="1:7" ht="15.75" x14ac:dyDescent="0.25">
      <c r="A41" s="69">
        <v>88323</v>
      </c>
      <c r="B41" s="70" t="s">
        <v>359</v>
      </c>
      <c r="C41" s="69" t="s">
        <v>342</v>
      </c>
      <c r="D41" s="69">
        <v>1.8</v>
      </c>
      <c r="E41" s="71">
        <v>41.7</v>
      </c>
      <c r="F41" s="71">
        <f t="shared" si="3"/>
        <v>75.06</v>
      </c>
    </row>
    <row r="42" spans="1:7" ht="15.75" x14ac:dyDescent="0.25">
      <c r="B42" s="74" t="s">
        <v>344</v>
      </c>
      <c r="E42" s="75" t="s">
        <v>329</v>
      </c>
      <c r="F42" s="76">
        <f>SUM(F39:F41)</f>
        <v>767.22</v>
      </c>
      <c r="G42" s="77" t="s">
        <v>345</v>
      </c>
    </row>
    <row r="43" spans="1:7" ht="78.75" x14ac:dyDescent="0.2">
      <c r="A43" s="66">
        <v>7</v>
      </c>
      <c r="B43" s="67" t="s">
        <v>182</v>
      </c>
      <c r="C43" s="477" t="s">
        <v>332</v>
      </c>
      <c r="D43" s="426"/>
      <c r="E43" s="66" t="s">
        <v>333</v>
      </c>
      <c r="F43" s="66" t="s">
        <v>8</v>
      </c>
    </row>
    <row r="44" spans="1:7" ht="14.25" x14ac:dyDescent="0.2">
      <c r="A44" s="68" t="s">
        <v>334</v>
      </c>
      <c r="B44" s="68" t="s">
        <v>335</v>
      </c>
      <c r="C44" s="68" t="s">
        <v>336</v>
      </c>
      <c r="D44" s="68" t="s">
        <v>337</v>
      </c>
      <c r="E44" s="68" t="s">
        <v>338</v>
      </c>
      <c r="F44" s="68" t="s">
        <v>329</v>
      </c>
    </row>
    <row r="45" spans="1:7" ht="30" x14ac:dyDescent="0.2">
      <c r="A45" s="6" t="s">
        <v>339</v>
      </c>
      <c r="B45" s="78" t="s">
        <v>360</v>
      </c>
      <c r="C45" s="6" t="s">
        <v>8</v>
      </c>
      <c r="D45" s="6">
        <v>1</v>
      </c>
      <c r="E45" s="49">
        <v>11.35</v>
      </c>
      <c r="F45" s="49">
        <f t="shared" ref="F45:F49" si="4">E45*D45</f>
        <v>11.35</v>
      </c>
    </row>
    <row r="46" spans="1:7" ht="30" x14ac:dyDescent="0.2">
      <c r="A46" s="6" t="s">
        <v>339</v>
      </c>
      <c r="B46" s="78" t="s">
        <v>361</v>
      </c>
      <c r="C46" s="6" t="s">
        <v>8</v>
      </c>
      <c r="D46" s="6">
        <v>1</v>
      </c>
      <c r="E46" s="49">
        <v>13.58</v>
      </c>
      <c r="F46" s="49">
        <f t="shared" si="4"/>
        <v>13.58</v>
      </c>
    </row>
    <row r="47" spans="1:7" ht="30" x14ac:dyDescent="0.2">
      <c r="A47" s="6" t="s">
        <v>339</v>
      </c>
      <c r="B47" s="78" t="s">
        <v>362</v>
      </c>
      <c r="C47" s="6" t="s">
        <v>8</v>
      </c>
      <c r="D47" s="6">
        <v>1</v>
      </c>
      <c r="E47" s="49">
        <v>11.04</v>
      </c>
      <c r="F47" s="49">
        <f t="shared" si="4"/>
        <v>11.04</v>
      </c>
    </row>
    <row r="48" spans="1:7" ht="15.75" x14ac:dyDescent="0.25">
      <c r="A48" s="6" t="s">
        <v>341</v>
      </c>
      <c r="B48" s="70" t="s">
        <v>363</v>
      </c>
      <c r="C48" s="6" t="s">
        <v>8</v>
      </c>
      <c r="D48" s="6">
        <v>1</v>
      </c>
      <c r="E48" s="49">
        <v>300</v>
      </c>
      <c r="F48" s="71">
        <f t="shared" si="4"/>
        <v>300</v>
      </c>
    </row>
    <row r="49" spans="1:26" ht="30" x14ac:dyDescent="0.2">
      <c r="A49" s="6" t="s">
        <v>341</v>
      </c>
      <c r="B49" s="78" t="s">
        <v>364</v>
      </c>
      <c r="C49" s="6" t="s">
        <v>8</v>
      </c>
      <c r="D49" s="6">
        <v>1</v>
      </c>
      <c r="E49" s="49">
        <v>105</v>
      </c>
      <c r="F49" s="49">
        <f t="shared" si="4"/>
        <v>105</v>
      </c>
    </row>
    <row r="50" spans="1:26" ht="15.75" x14ac:dyDescent="0.25">
      <c r="B50" s="74" t="s">
        <v>344</v>
      </c>
      <c r="E50" s="75" t="s">
        <v>329</v>
      </c>
      <c r="F50" s="76">
        <f>SUM(F45:F49)</f>
        <v>440.97</v>
      </c>
      <c r="G50" s="77" t="s">
        <v>345</v>
      </c>
    </row>
    <row r="51" spans="1:26" ht="47.25" x14ac:dyDescent="0.2">
      <c r="A51" s="66">
        <v>8</v>
      </c>
      <c r="B51" s="67" t="s">
        <v>317</v>
      </c>
      <c r="C51" s="477" t="s">
        <v>332</v>
      </c>
      <c r="D51" s="426"/>
      <c r="E51" s="66" t="s">
        <v>333</v>
      </c>
      <c r="F51" s="66" t="s">
        <v>8</v>
      </c>
    </row>
    <row r="52" spans="1:26" ht="14.25" x14ac:dyDescent="0.2">
      <c r="A52" s="80" t="s">
        <v>334</v>
      </c>
      <c r="B52" s="80" t="s">
        <v>335</v>
      </c>
      <c r="C52" s="80" t="s">
        <v>336</v>
      </c>
      <c r="D52" s="80" t="s">
        <v>337</v>
      </c>
      <c r="E52" s="80" t="s">
        <v>338</v>
      </c>
      <c r="F52" s="80" t="s">
        <v>329</v>
      </c>
    </row>
    <row r="53" spans="1:26" ht="30" x14ac:dyDescent="0.2">
      <c r="A53" s="81" t="s">
        <v>341</v>
      </c>
      <c r="B53" s="81" t="s">
        <v>317</v>
      </c>
      <c r="C53" s="81" t="s">
        <v>31</v>
      </c>
      <c r="D53" s="81">
        <v>1</v>
      </c>
      <c r="E53" s="82">
        <v>1580</v>
      </c>
      <c r="F53" s="49">
        <f>E53*D53</f>
        <v>1580</v>
      </c>
    </row>
    <row r="54" spans="1:26" ht="15.75" x14ac:dyDescent="0.25">
      <c r="B54" s="74" t="s">
        <v>351</v>
      </c>
      <c r="E54" s="75" t="s">
        <v>329</v>
      </c>
      <c r="F54" s="76">
        <f>SUM(F53)</f>
        <v>1580</v>
      </c>
      <c r="G54" s="77" t="s">
        <v>345</v>
      </c>
    </row>
    <row r="55" spans="1:26" ht="31.5" x14ac:dyDescent="0.2">
      <c r="A55" s="66">
        <v>9</v>
      </c>
      <c r="B55" s="67" t="s">
        <v>321</v>
      </c>
      <c r="C55" s="477" t="s">
        <v>332</v>
      </c>
      <c r="D55" s="426"/>
      <c r="E55" s="66" t="s">
        <v>333</v>
      </c>
      <c r="F55" s="66" t="s">
        <v>8</v>
      </c>
    </row>
    <row r="56" spans="1:26" ht="14.25" x14ac:dyDescent="0.2">
      <c r="A56" s="80" t="s">
        <v>334</v>
      </c>
      <c r="B56" s="80" t="s">
        <v>335</v>
      </c>
      <c r="C56" s="80" t="s">
        <v>336</v>
      </c>
      <c r="D56" s="80" t="s">
        <v>337</v>
      </c>
      <c r="E56" s="80" t="s">
        <v>338</v>
      </c>
      <c r="F56" s="80" t="s">
        <v>329</v>
      </c>
    </row>
    <row r="57" spans="1:26" ht="30" x14ac:dyDescent="0.2">
      <c r="A57" s="81" t="s">
        <v>341</v>
      </c>
      <c r="B57" s="81" t="s">
        <v>321</v>
      </c>
      <c r="C57" s="81" t="s">
        <v>8</v>
      </c>
      <c r="D57" s="81">
        <v>1</v>
      </c>
      <c r="E57" s="83">
        <v>30.36</v>
      </c>
      <c r="F57" s="49">
        <f t="shared" ref="F57:F58" si="5">E57*D57</f>
        <v>30.36</v>
      </c>
    </row>
    <row r="58" spans="1:26" ht="15.75" x14ac:dyDescent="0.25">
      <c r="A58" s="70" t="s">
        <v>339</v>
      </c>
      <c r="B58" s="70" t="s">
        <v>343</v>
      </c>
      <c r="C58" s="84" t="s">
        <v>342</v>
      </c>
      <c r="D58" s="84">
        <v>0.1</v>
      </c>
      <c r="E58" s="85">
        <v>15.35</v>
      </c>
      <c r="F58" s="71">
        <f t="shared" si="5"/>
        <v>1.5350000000000001</v>
      </c>
    </row>
    <row r="59" spans="1:26" ht="15.75" x14ac:dyDescent="0.25">
      <c r="B59" s="74" t="s">
        <v>351</v>
      </c>
      <c r="E59" s="75" t="s">
        <v>329</v>
      </c>
      <c r="F59" s="76">
        <f>SUM(F57:F58)</f>
        <v>31.895</v>
      </c>
      <c r="G59" s="77" t="s">
        <v>345</v>
      </c>
    </row>
    <row r="60" spans="1:26" ht="94.5" x14ac:dyDescent="0.2">
      <c r="A60" s="66">
        <v>10</v>
      </c>
      <c r="B60" s="67" t="s">
        <v>576</v>
      </c>
      <c r="C60" s="477" t="s">
        <v>332</v>
      </c>
      <c r="D60" s="426"/>
      <c r="E60" s="66" t="s">
        <v>333</v>
      </c>
      <c r="F60" s="66" t="s">
        <v>375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">
      <c r="A61" s="68" t="s">
        <v>334</v>
      </c>
      <c r="B61" s="68" t="s">
        <v>335</v>
      </c>
      <c r="C61" s="68" t="s">
        <v>336</v>
      </c>
      <c r="D61" s="68" t="s">
        <v>337</v>
      </c>
      <c r="E61" s="68" t="s">
        <v>338</v>
      </c>
      <c r="F61" s="68" t="s">
        <v>329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.75" x14ac:dyDescent="0.25">
      <c r="A62" s="69">
        <v>98557</v>
      </c>
      <c r="B62" s="70" t="s">
        <v>575</v>
      </c>
      <c r="C62" s="69" t="s">
        <v>375</v>
      </c>
      <c r="D62" s="69">
        <v>2</v>
      </c>
      <c r="E62" s="71">
        <v>49.62</v>
      </c>
      <c r="F62" s="72">
        <f t="shared" ref="F62:F66" si="6">E62*D62</f>
        <v>99.24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69" t="s">
        <v>339</v>
      </c>
      <c r="B63" s="70" t="s">
        <v>365</v>
      </c>
      <c r="C63" s="69" t="s">
        <v>342</v>
      </c>
      <c r="D63" s="69">
        <v>0.192</v>
      </c>
      <c r="E63" s="71">
        <v>18.899999999999999</v>
      </c>
      <c r="F63" s="71">
        <f t="shared" si="6"/>
        <v>3.6287999999999996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69" t="s">
        <v>339</v>
      </c>
      <c r="B64" s="70" t="s">
        <v>366</v>
      </c>
      <c r="C64" s="69" t="s">
        <v>342</v>
      </c>
      <c r="D64" s="69">
        <v>0.94799999999999995</v>
      </c>
      <c r="E64" s="71">
        <v>27.75</v>
      </c>
      <c r="F64" s="71">
        <f t="shared" si="6"/>
        <v>26.306999999999999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45.75" x14ac:dyDescent="0.25">
      <c r="A65" s="69">
        <v>626</v>
      </c>
      <c r="B65" s="70" t="s">
        <v>574</v>
      </c>
      <c r="C65" s="69" t="s">
        <v>340</v>
      </c>
      <c r="D65" s="69">
        <f>1100/96</f>
        <v>11.458333333333334</v>
      </c>
      <c r="E65" s="71">
        <v>23.88</v>
      </c>
      <c r="F65" s="71">
        <f t="shared" si="6"/>
        <v>273.625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69"/>
      <c r="B66" s="70"/>
      <c r="C66" s="69"/>
      <c r="D66" s="69"/>
      <c r="E66" s="71"/>
      <c r="F66" s="71">
        <f t="shared" si="6"/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73"/>
      <c r="B67" s="74" t="s">
        <v>344</v>
      </c>
      <c r="C67" s="73"/>
      <c r="D67" s="73"/>
      <c r="E67" s="75" t="s">
        <v>329</v>
      </c>
      <c r="F67" s="76">
        <f>SUM(F62:F66)</f>
        <v>402.80079999999998</v>
      </c>
      <c r="G67" s="1" t="s">
        <v>345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9" spans="1:26" s="162" customFormat="1" ht="47.25" x14ac:dyDescent="0.2">
      <c r="A69" s="66">
        <v>11</v>
      </c>
      <c r="B69" s="67" t="s">
        <v>573</v>
      </c>
      <c r="C69" s="477" t="s">
        <v>445</v>
      </c>
      <c r="D69" s="426"/>
      <c r="E69" s="66" t="s">
        <v>333</v>
      </c>
      <c r="F69" s="66" t="s">
        <v>8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162" customFormat="1" ht="15" customHeight="1" x14ac:dyDescent="0.2">
      <c r="A70" s="68" t="s">
        <v>334</v>
      </c>
      <c r="B70" s="68" t="s">
        <v>335</v>
      </c>
      <c r="C70" s="68" t="s">
        <v>336</v>
      </c>
      <c r="D70" s="68" t="s">
        <v>337</v>
      </c>
      <c r="E70" s="68" t="s">
        <v>338</v>
      </c>
      <c r="F70" s="68" t="s">
        <v>329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162" customFormat="1" ht="60.75" x14ac:dyDescent="0.25">
      <c r="A71" s="69">
        <v>100764</v>
      </c>
      <c r="B71" s="70" t="s">
        <v>446</v>
      </c>
      <c r="C71" s="69" t="s">
        <v>340</v>
      </c>
      <c r="D71" s="69">
        <f>12.2*1</f>
        <v>12.2</v>
      </c>
      <c r="E71" s="71">
        <f>19.99</f>
        <v>19.989999999999998</v>
      </c>
      <c r="F71" s="72">
        <f t="shared" ref="F71:F75" si="7">E71*D71</f>
        <v>243.87799999999996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164" customFormat="1" ht="30.75" x14ac:dyDescent="0.25">
      <c r="A72" s="69">
        <v>11963</v>
      </c>
      <c r="B72" s="70" t="s">
        <v>447</v>
      </c>
      <c r="C72" s="69" t="s">
        <v>336</v>
      </c>
      <c r="D72" s="69">
        <v>4</v>
      </c>
      <c r="E72" s="71">
        <f>13.55</f>
        <v>13.55</v>
      </c>
      <c r="F72" s="71">
        <f t="shared" ref="F72" si="8">E72*D72</f>
        <v>54.2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162" customFormat="1" ht="30.75" x14ac:dyDescent="0.25">
      <c r="A73" s="69">
        <v>13279</v>
      </c>
      <c r="B73" s="70" t="s">
        <v>459</v>
      </c>
      <c r="C73" s="69" t="s">
        <v>336</v>
      </c>
      <c r="D73" s="69">
        <v>3</v>
      </c>
      <c r="E73" s="71">
        <f>29.65</f>
        <v>29.65</v>
      </c>
      <c r="F73" s="71">
        <f t="shared" si="7"/>
        <v>88.949999999999989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162" customFormat="1" ht="15.75" x14ac:dyDescent="0.25">
      <c r="A74" s="69">
        <v>88309</v>
      </c>
      <c r="B74" s="70" t="s">
        <v>448</v>
      </c>
      <c r="C74" s="69" t="s">
        <v>342</v>
      </c>
      <c r="D74" s="69">
        <v>3.26</v>
      </c>
      <c r="E74" s="71">
        <f>27.36</f>
        <v>27.36</v>
      </c>
      <c r="F74" s="71">
        <f t="shared" si="7"/>
        <v>89.193599999999989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162" customFormat="1" ht="75.75" x14ac:dyDescent="0.25">
      <c r="A75" s="69">
        <v>10527</v>
      </c>
      <c r="B75" s="70" t="s">
        <v>449</v>
      </c>
      <c r="C75" s="69" t="s">
        <v>450</v>
      </c>
      <c r="D75" s="86">
        <f>5*0.25</f>
        <v>1.25</v>
      </c>
      <c r="E75" s="71">
        <f>37</f>
        <v>37</v>
      </c>
      <c r="F75" s="71">
        <f t="shared" si="7"/>
        <v>46.25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162" customFormat="1" ht="15.75" x14ac:dyDescent="0.25">
      <c r="A76" s="73"/>
      <c r="B76" s="74" t="s">
        <v>344</v>
      </c>
      <c r="C76" s="73"/>
      <c r="D76" s="73"/>
      <c r="E76" s="75" t="s">
        <v>329</v>
      </c>
      <c r="F76" s="76">
        <f>SUM(F71:F75)</f>
        <v>522.47159999999997</v>
      </c>
      <c r="G76" s="1" t="s">
        <v>345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8" spans="1:26" s="164" customFormat="1" ht="78.75" x14ac:dyDescent="0.2">
      <c r="A78" s="66">
        <v>12</v>
      </c>
      <c r="B78" s="67" t="s">
        <v>484</v>
      </c>
      <c r="C78" s="477" t="s">
        <v>445</v>
      </c>
      <c r="D78" s="426"/>
      <c r="E78" s="66" t="s">
        <v>333</v>
      </c>
      <c r="F78" s="66" t="s">
        <v>375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164" customFormat="1" ht="15" customHeight="1" x14ac:dyDescent="0.2">
      <c r="A79" s="68" t="s">
        <v>334</v>
      </c>
      <c r="B79" s="68" t="s">
        <v>335</v>
      </c>
      <c r="C79" s="68" t="s">
        <v>336</v>
      </c>
      <c r="D79" s="68" t="s">
        <v>337</v>
      </c>
      <c r="E79" s="68" t="s">
        <v>338</v>
      </c>
      <c r="F79" s="68" t="s">
        <v>329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164" customFormat="1" ht="15.75" x14ac:dyDescent="0.25">
      <c r="A80" s="69" t="s">
        <v>472</v>
      </c>
      <c r="B80" s="70" t="s">
        <v>448</v>
      </c>
      <c r="C80" s="69" t="s">
        <v>342</v>
      </c>
      <c r="D80" s="69">
        <v>0.3</v>
      </c>
      <c r="E80" s="71">
        <f>27.36</f>
        <v>27.36</v>
      </c>
      <c r="F80" s="72">
        <f t="shared" ref="F80:F83" si="9">E80*D80</f>
        <v>8.2080000000000002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164" customFormat="1" ht="30.75" x14ac:dyDescent="0.25">
      <c r="A81" s="69" t="s">
        <v>473</v>
      </c>
      <c r="B81" s="70" t="s">
        <v>476</v>
      </c>
      <c r="C81" s="69" t="s">
        <v>478</v>
      </c>
      <c r="D81" s="69">
        <v>0.3</v>
      </c>
      <c r="E81" s="71">
        <f>0.82</f>
        <v>0.82</v>
      </c>
      <c r="F81" s="71">
        <f t="shared" si="9"/>
        <v>0.24599999999999997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164" customFormat="1" ht="15.75" x14ac:dyDescent="0.25">
      <c r="A82" s="69" t="s">
        <v>474</v>
      </c>
      <c r="B82" s="70" t="s">
        <v>358</v>
      </c>
      <c r="C82" s="69" t="s">
        <v>342</v>
      </c>
      <c r="D82" s="69">
        <v>0.1</v>
      </c>
      <c r="E82" s="71">
        <f>20.14</f>
        <v>20.14</v>
      </c>
      <c r="F82" s="71">
        <f t="shared" si="9"/>
        <v>2.0140000000000002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64" customFormat="1" ht="15.75" x14ac:dyDescent="0.25">
      <c r="A83" s="69" t="s">
        <v>475</v>
      </c>
      <c r="B83" s="70" t="s">
        <v>477</v>
      </c>
      <c r="C83" s="69" t="s">
        <v>479</v>
      </c>
      <c r="D83" s="69">
        <v>3.5</v>
      </c>
      <c r="E83" s="71">
        <f>1.99</f>
        <v>1.99</v>
      </c>
      <c r="F83" s="71">
        <f t="shared" si="9"/>
        <v>6.9649999999999999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164" customFormat="1" ht="15.75" x14ac:dyDescent="0.25">
      <c r="A84" s="73"/>
      <c r="B84" s="74" t="s">
        <v>344</v>
      </c>
      <c r="C84" s="73"/>
      <c r="D84" s="73"/>
      <c r="E84" s="75" t="s">
        <v>329</v>
      </c>
      <c r="F84" s="76">
        <f>SUM(F80:F83)</f>
        <v>17.433</v>
      </c>
      <c r="G84" s="1" t="s">
        <v>345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6" spans="1:26" s="169" customFormat="1" ht="47.25" x14ac:dyDescent="0.2">
      <c r="A86" s="66">
        <v>13</v>
      </c>
      <c r="B86" s="67" t="s">
        <v>942</v>
      </c>
      <c r="C86" s="477" t="s">
        <v>445</v>
      </c>
      <c r="D86" s="426"/>
      <c r="E86" s="66" t="s">
        <v>333</v>
      </c>
      <c r="F86" s="66" t="s">
        <v>8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169" customFormat="1" ht="15" customHeight="1" x14ac:dyDescent="0.2">
      <c r="A87" s="68" t="s">
        <v>334</v>
      </c>
      <c r="B87" s="68" t="s">
        <v>335</v>
      </c>
      <c r="C87" s="68" t="s">
        <v>336</v>
      </c>
      <c r="D87" s="68" t="s">
        <v>337</v>
      </c>
      <c r="E87" s="68" t="s">
        <v>338</v>
      </c>
      <c r="F87" s="68" t="s">
        <v>329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169" customFormat="1" ht="15.75" x14ac:dyDescent="0.25">
      <c r="A88" s="69" t="s">
        <v>513</v>
      </c>
      <c r="B88" s="70" t="s">
        <v>514</v>
      </c>
      <c r="C88" s="69" t="s">
        <v>478</v>
      </c>
      <c r="D88" s="69">
        <v>8</v>
      </c>
      <c r="E88" s="71">
        <v>22.71</v>
      </c>
      <c r="F88" s="72">
        <f t="shared" ref="F88:F91" si="10">E88*D88</f>
        <v>181.68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169" customFormat="1" ht="15.75" x14ac:dyDescent="0.25">
      <c r="A89" s="69" t="s">
        <v>515</v>
      </c>
      <c r="B89" s="70" t="s">
        <v>516</v>
      </c>
      <c r="C89" s="69" t="s">
        <v>479</v>
      </c>
      <c r="D89" s="69">
        <v>10</v>
      </c>
      <c r="E89" s="71">
        <v>49.12</v>
      </c>
      <c r="F89" s="71">
        <f t="shared" si="10"/>
        <v>491.2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169" customFormat="1" ht="15.75" x14ac:dyDescent="0.25">
      <c r="A90" s="69" t="s">
        <v>517</v>
      </c>
      <c r="B90" s="70" t="s">
        <v>518</v>
      </c>
      <c r="C90" s="69" t="s">
        <v>478</v>
      </c>
      <c r="D90" s="69">
        <v>8</v>
      </c>
      <c r="E90" s="71">
        <v>17.28</v>
      </c>
      <c r="F90" s="71">
        <f t="shared" si="10"/>
        <v>138.24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169" customFormat="1" ht="15.75" x14ac:dyDescent="0.25">
      <c r="A91" s="69"/>
      <c r="B91" s="70"/>
      <c r="C91" s="69"/>
      <c r="D91" s="69"/>
      <c r="E91" s="71"/>
      <c r="F91" s="71">
        <f t="shared" si="10"/>
        <v>0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169" customFormat="1" ht="15.75" x14ac:dyDescent="0.25">
      <c r="A92" s="73"/>
      <c r="B92" s="74" t="s">
        <v>344</v>
      </c>
      <c r="C92" s="73"/>
      <c r="D92" s="73"/>
      <c r="E92" s="75" t="s">
        <v>329</v>
      </c>
      <c r="F92" s="76">
        <f>SUM(F88:F91)</f>
        <v>811.12</v>
      </c>
      <c r="G92" s="1" t="s">
        <v>345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4" spans="1:26" s="169" customFormat="1" ht="47.25" x14ac:dyDescent="0.2">
      <c r="A94" s="66">
        <v>14</v>
      </c>
      <c r="B94" s="67" t="s">
        <v>542</v>
      </c>
      <c r="C94" s="477" t="s">
        <v>445</v>
      </c>
      <c r="D94" s="426"/>
      <c r="E94" s="66" t="s">
        <v>333</v>
      </c>
      <c r="F94" s="66" t="s">
        <v>347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169" customFormat="1" ht="15" customHeight="1" x14ac:dyDescent="0.2">
      <c r="A95" s="68" t="s">
        <v>334</v>
      </c>
      <c r="B95" s="68" t="s">
        <v>335</v>
      </c>
      <c r="C95" s="68" t="s">
        <v>336</v>
      </c>
      <c r="D95" s="68" t="s">
        <v>337</v>
      </c>
      <c r="E95" s="68" t="s">
        <v>338</v>
      </c>
      <c r="F95" s="68" t="s">
        <v>329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169" customFormat="1" ht="30.75" x14ac:dyDescent="0.25">
      <c r="A96" s="69" t="s">
        <v>536</v>
      </c>
      <c r="B96" s="70" t="s">
        <v>537</v>
      </c>
      <c r="C96" s="69" t="s">
        <v>524</v>
      </c>
      <c r="D96" s="69">
        <v>0.2</v>
      </c>
      <c r="E96" s="71">
        <v>26.75</v>
      </c>
      <c r="F96" s="72">
        <f t="shared" ref="F96:F100" si="11">E96*D96</f>
        <v>5.3500000000000005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169" customFormat="1" ht="30.75" x14ac:dyDescent="0.25">
      <c r="A97" s="69">
        <v>39572</v>
      </c>
      <c r="B97" s="70" t="s">
        <v>545</v>
      </c>
      <c r="C97" s="69" t="s">
        <v>525</v>
      </c>
      <c r="D97" s="69">
        <v>2.2000000000000002</v>
      </c>
      <c r="E97" s="71">
        <v>4.8499999999999996</v>
      </c>
      <c r="F97" s="71">
        <f t="shared" si="11"/>
        <v>10.67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s="169" customFormat="1" ht="15.75" x14ac:dyDescent="0.25">
      <c r="A98" s="69" t="s">
        <v>538</v>
      </c>
      <c r="B98" s="70" t="s">
        <v>539</v>
      </c>
      <c r="C98" s="69" t="s">
        <v>342</v>
      </c>
      <c r="D98" s="69">
        <v>0.25</v>
      </c>
      <c r="E98" s="71">
        <v>27.11</v>
      </c>
      <c r="F98" s="71">
        <f t="shared" ref="F98" si="12">E98*D98</f>
        <v>6.7774999999999999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169" customFormat="1" ht="30.75" x14ac:dyDescent="0.25">
      <c r="A99" s="69" t="s">
        <v>540</v>
      </c>
      <c r="B99" s="70" t="s">
        <v>541</v>
      </c>
      <c r="C99" s="69" t="s">
        <v>478</v>
      </c>
      <c r="D99" s="69">
        <v>0.25</v>
      </c>
      <c r="E99" s="71">
        <v>1.23</v>
      </c>
      <c r="F99" s="71">
        <f t="shared" si="11"/>
        <v>0.3075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s="169" customFormat="1" ht="15.75" x14ac:dyDescent="0.25">
      <c r="A100" s="69" t="s">
        <v>472</v>
      </c>
      <c r="B100" s="70" t="s">
        <v>448</v>
      </c>
      <c r="C100" s="69" t="s">
        <v>342</v>
      </c>
      <c r="D100" s="69">
        <v>0.15</v>
      </c>
      <c r="E100" s="71">
        <v>27.36</v>
      </c>
      <c r="F100" s="71">
        <f t="shared" si="11"/>
        <v>4.1040000000000001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s="169" customFormat="1" ht="15.75" x14ac:dyDescent="0.25">
      <c r="A101" s="73"/>
      <c r="B101" s="74" t="s">
        <v>344</v>
      </c>
      <c r="C101" s="73"/>
      <c r="D101" s="73"/>
      <c r="E101" s="75" t="s">
        <v>329</v>
      </c>
      <c r="F101" s="76">
        <f>SUM(F96:F100)</f>
        <v>27.209</v>
      </c>
      <c r="G101" s="1" t="s">
        <v>345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3" spans="1:26" s="169" customFormat="1" ht="31.5" x14ac:dyDescent="0.2">
      <c r="A103" s="66">
        <v>15</v>
      </c>
      <c r="B103" s="67" t="s">
        <v>546</v>
      </c>
      <c r="C103" s="477" t="s">
        <v>445</v>
      </c>
      <c r="D103" s="426"/>
      <c r="E103" s="66" t="s">
        <v>333</v>
      </c>
      <c r="F103" s="66" t="s">
        <v>8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s="169" customFormat="1" ht="15" customHeight="1" x14ac:dyDescent="0.2">
      <c r="A104" s="68" t="s">
        <v>334</v>
      </c>
      <c r="B104" s="68" t="s">
        <v>335</v>
      </c>
      <c r="C104" s="68" t="s">
        <v>336</v>
      </c>
      <c r="D104" s="68" t="s">
        <v>337</v>
      </c>
      <c r="E104" s="68" t="s">
        <v>338</v>
      </c>
      <c r="F104" s="68" t="s">
        <v>329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s="169" customFormat="1" ht="15.75" x14ac:dyDescent="0.25">
      <c r="A105" s="69" t="s">
        <v>472</v>
      </c>
      <c r="B105" s="70" t="s">
        <v>448</v>
      </c>
      <c r="C105" s="69" t="s">
        <v>342</v>
      </c>
      <c r="D105" s="69">
        <v>3</v>
      </c>
      <c r="E105" s="71">
        <v>27.36</v>
      </c>
      <c r="F105" s="72">
        <f t="shared" ref="F105:F106" si="13">E105*D105</f>
        <v>82.08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s="169" customFormat="1" ht="30.75" x14ac:dyDescent="0.25">
      <c r="A106" s="69" t="s">
        <v>473</v>
      </c>
      <c r="B106" s="70" t="s">
        <v>476</v>
      </c>
      <c r="C106" s="69" t="s">
        <v>478</v>
      </c>
      <c r="D106" s="69">
        <v>3</v>
      </c>
      <c r="E106" s="71">
        <v>0.82</v>
      </c>
      <c r="F106" s="71">
        <f t="shared" si="13"/>
        <v>2.46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s="169" customFormat="1" ht="15.75" x14ac:dyDescent="0.25">
      <c r="A107" s="73"/>
      <c r="B107" s="74" t="s">
        <v>344</v>
      </c>
      <c r="C107" s="73"/>
      <c r="D107" s="73"/>
      <c r="E107" s="75" t="s">
        <v>329</v>
      </c>
      <c r="F107" s="76">
        <f>SUM(F105:F106)</f>
        <v>84.539999999999992</v>
      </c>
      <c r="G107" s="1" t="s">
        <v>345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9" spans="1:26" s="213" customFormat="1" ht="47.25" x14ac:dyDescent="0.2">
      <c r="A109" s="66" t="s">
        <v>833</v>
      </c>
      <c r="B109" s="67" t="s">
        <v>832</v>
      </c>
      <c r="C109" s="477" t="s">
        <v>445</v>
      </c>
      <c r="D109" s="426"/>
      <c r="E109" s="66" t="s">
        <v>333</v>
      </c>
      <c r="F109" s="66" t="s">
        <v>375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s="213" customFormat="1" ht="15" customHeight="1" x14ac:dyDescent="0.2">
      <c r="A110" s="68" t="s">
        <v>334</v>
      </c>
      <c r="B110" s="68" t="s">
        <v>335</v>
      </c>
      <c r="C110" s="68" t="s">
        <v>336</v>
      </c>
      <c r="D110" s="68" t="s">
        <v>337</v>
      </c>
      <c r="E110" s="68" t="s">
        <v>338</v>
      </c>
      <c r="F110" s="68" t="s">
        <v>329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s="213" customFormat="1" ht="30.75" x14ac:dyDescent="0.25">
      <c r="A111" s="69" t="s">
        <v>839</v>
      </c>
      <c r="B111" s="70" t="s">
        <v>840</v>
      </c>
      <c r="C111" s="69" t="s">
        <v>847</v>
      </c>
      <c r="D111" s="69">
        <v>0.58720000000000006</v>
      </c>
      <c r="E111" s="71">
        <v>19.52</v>
      </c>
      <c r="F111" s="72">
        <f t="shared" ref="F111:F115" si="14">E111*D111</f>
        <v>11.462144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s="213" customFormat="1" ht="30.75" x14ac:dyDescent="0.25">
      <c r="A112" s="69" t="s">
        <v>841</v>
      </c>
      <c r="B112" s="70" t="s">
        <v>842</v>
      </c>
      <c r="C112" s="69" t="s">
        <v>524</v>
      </c>
      <c r="D112" s="69">
        <v>1.1318999999999999</v>
      </c>
      <c r="E112" s="71">
        <v>59.48</v>
      </c>
      <c r="F112" s="71">
        <f t="shared" si="14"/>
        <v>67.325411999999986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s="213" customFormat="1" ht="15.75" x14ac:dyDescent="0.25">
      <c r="A113" s="69" t="s">
        <v>843</v>
      </c>
      <c r="B113" s="70" t="s">
        <v>844</v>
      </c>
      <c r="C113" s="69" t="s">
        <v>479</v>
      </c>
      <c r="D113" s="69">
        <v>0.26</v>
      </c>
      <c r="E113" s="71">
        <v>8.7100000000000009</v>
      </c>
      <c r="F113" s="71">
        <f t="shared" si="14"/>
        <v>2.2646000000000002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s="213" customFormat="1" ht="15.75" x14ac:dyDescent="0.25">
      <c r="A114" s="69" t="s">
        <v>845</v>
      </c>
      <c r="B114" s="70" t="s">
        <v>365</v>
      </c>
      <c r="C114" s="69" t="s">
        <v>342</v>
      </c>
      <c r="D114" s="69">
        <v>0.2102</v>
      </c>
      <c r="E114" s="71">
        <v>21.33</v>
      </c>
      <c r="F114" s="71">
        <f t="shared" si="14"/>
        <v>4.4835659999999997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s="213" customFormat="1" ht="15.75" x14ac:dyDescent="0.25">
      <c r="A115" s="69" t="s">
        <v>846</v>
      </c>
      <c r="B115" s="70" t="s">
        <v>366</v>
      </c>
      <c r="C115" s="69" t="s">
        <v>342</v>
      </c>
      <c r="D115" s="69">
        <v>0.93240000000000001</v>
      </c>
      <c r="E115" s="71">
        <v>28.12</v>
      </c>
      <c r="F115" s="71">
        <f t="shared" si="14"/>
        <v>26.219088000000003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s="213" customFormat="1" ht="15.75" x14ac:dyDescent="0.25">
      <c r="A116" s="73"/>
      <c r="B116" s="74" t="s">
        <v>344</v>
      </c>
      <c r="C116" s="73"/>
      <c r="D116" s="73"/>
      <c r="E116" s="75" t="s">
        <v>329</v>
      </c>
      <c r="F116" s="76">
        <f>SUM(F111:F115)</f>
        <v>111.75480999999998</v>
      </c>
      <c r="G116" s="1" t="s">
        <v>345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8" spans="1:26" s="213" customFormat="1" ht="47.25" x14ac:dyDescent="0.2">
      <c r="A118" s="66" t="s">
        <v>836</v>
      </c>
      <c r="B118" s="67" t="s">
        <v>837</v>
      </c>
      <c r="C118" s="477" t="s">
        <v>445</v>
      </c>
      <c r="D118" s="426"/>
      <c r="E118" s="66" t="s">
        <v>333</v>
      </c>
      <c r="F118" s="66" t="s">
        <v>347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s="213" customFormat="1" ht="15" customHeight="1" x14ac:dyDescent="0.2">
      <c r="A119" s="68" t="s">
        <v>334</v>
      </c>
      <c r="B119" s="68" t="s">
        <v>335</v>
      </c>
      <c r="C119" s="68" t="s">
        <v>336</v>
      </c>
      <c r="D119" s="68" t="s">
        <v>337</v>
      </c>
      <c r="E119" s="68" t="s">
        <v>338</v>
      </c>
      <c r="F119" s="68" t="s">
        <v>329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s="213" customFormat="1" ht="30.75" x14ac:dyDescent="0.25">
      <c r="A120" s="69" t="s">
        <v>848</v>
      </c>
      <c r="B120" s="70" t="s">
        <v>849</v>
      </c>
      <c r="C120" s="69" t="s">
        <v>850</v>
      </c>
      <c r="D120" s="69">
        <v>0.161</v>
      </c>
      <c r="E120" s="71">
        <v>38.409999999999997</v>
      </c>
      <c r="F120" s="72">
        <f t="shared" ref="F120:F128" si="15">E120*D120</f>
        <v>6.1840099999999998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s="213" customFormat="1" ht="15.75" x14ac:dyDescent="0.25">
      <c r="A121" s="69" t="s">
        <v>851</v>
      </c>
      <c r="B121" s="70" t="s">
        <v>852</v>
      </c>
      <c r="C121" s="69" t="s">
        <v>479</v>
      </c>
      <c r="D121" s="69">
        <v>2.5000000000000001E-2</v>
      </c>
      <c r="E121" s="71">
        <v>16.899999999999999</v>
      </c>
      <c r="F121" s="71">
        <f t="shared" ref="F121:F124" si="16">E121*D121</f>
        <v>0.42249999999999999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213" customFormat="1" ht="30.75" x14ac:dyDescent="0.25">
      <c r="A122" s="69" t="s">
        <v>853</v>
      </c>
      <c r="B122" s="70" t="s">
        <v>854</v>
      </c>
      <c r="C122" s="69" t="s">
        <v>479</v>
      </c>
      <c r="D122" s="69">
        <v>4.8999999999999998E-3</v>
      </c>
      <c r="E122" s="71">
        <v>69.95</v>
      </c>
      <c r="F122" s="71">
        <f t="shared" si="16"/>
        <v>0.34275499999999998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s="213" customFormat="1" ht="15.75" x14ac:dyDescent="0.25">
      <c r="A123" s="69" t="s">
        <v>855</v>
      </c>
      <c r="B123" s="70" t="s">
        <v>856</v>
      </c>
      <c r="C123" s="69" t="s">
        <v>479</v>
      </c>
      <c r="D123" s="69">
        <v>0.18</v>
      </c>
      <c r="E123" s="71">
        <v>193.2</v>
      </c>
      <c r="F123" s="71">
        <f t="shared" si="16"/>
        <v>34.775999999999996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s="213" customFormat="1" ht="30.75" x14ac:dyDescent="0.25">
      <c r="A124" s="69" t="s">
        <v>857</v>
      </c>
      <c r="B124" s="70" t="s">
        <v>858</v>
      </c>
      <c r="C124" s="69" t="s">
        <v>525</v>
      </c>
      <c r="D124" s="69">
        <v>1.6275000000000002</v>
      </c>
      <c r="E124" s="71">
        <v>85.2</v>
      </c>
      <c r="F124" s="71">
        <f t="shared" si="16"/>
        <v>138.66300000000001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s="213" customFormat="1" ht="15.75" x14ac:dyDescent="0.25">
      <c r="A125" s="69" t="s">
        <v>474</v>
      </c>
      <c r="B125" s="70" t="s">
        <v>358</v>
      </c>
      <c r="C125" s="69" t="s">
        <v>342</v>
      </c>
      <c r="D125" s="69">
        <v>0.63300000000000001</v>
      </c>
      <c r="E125" s="71">
        <v>20.38</v>
      </c>
      <c r="F125" s="71">
        <f t="shared" si="15"/>
        <v>12.900539999999999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213" customFormat="1" ht="15.75" x14ac:dyDescent="0.25">
      <c r="A126" s="69" t="s">
        <v>859</v>
      </c>
      <c r="B126" s="70" t="s">
        <v>359</v>
      </c>
      <c r="C126" s="69" t="s">
        <v>342</v>
      </c>
      <c r="D126" s="69">
        <v>0.53900000000000003</v>
      </c>
      <c r="E126" s="71">
        <v>27.36</v>
      </c>
      <c r="F126" s="71">
        <f t="shared" si="15"/>
        <v>14.74704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s="213" customFormat="1" ht="30.75" x14ac:dyDescent="0.25">
      <c r="A127" s="69" t="s">
        <v>860</v>
      </c>
      <c r="B127" s="70" t="s">
        <v>861</v>
      </c>
      <c r="C127" s="69" t="s">
        <v>862</v>
      </c>
      <c r="D127" s="69">
        <v>1.32E-2</v>
      </c>
      <c r="E127" s="71">
        <v>28.98</v>
      </c>
      <c r="F127" s="71">
        <f t="shared" si="15"/>
        <v>0.38253599999999999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213" customFormat="1" ht="30.75" x14ac:dyDescent="0.25">
      <c r="A128" s="69" t="s">
        <v>863</v>
      </c>
      <c r="B128" s="70" t="s">
        <v>864</v>
      </c>
      <c r="C128" s="69" t="s">
        <v>865</v>
      </c>
      <c r="D128" s="69">
        <v>1.83E-2</v>
      </c>
      <c r="E128" s="71">
        <v>28.14</v>
      </c>
      <c r="F128" s="71">
        <f t="shared" si="15"/>
        <v>0.51496200000000003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s="213" customFormat="1" ht="15.75" x14ac:dyDescent="0.25">
      <c r="A129" s="73"/>
      <c r="B129" s="74" t="s">
        <v>344</v>
      </c>
      <c r="C129" s="73"/>
      <c r="D129" s="73"/>
      <c r="E129" s="75" t="s">
        <v>329</v>
      </c>
      <c r="F129" s="76">
        <f>SUM(F120:F128)</f>
        <v>208.93334299999998</v>
      </c>
      <c r="G129" s="1" t="s">
        <v>345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1" spans="1:26" s="228" customFormat="1" ht="47.25" x14ac:dyDescent="0.2">
      <c r="A131" s="66" t="s">
        <v>897</v>
      </c>
      <c r="B131" s="67" t="s">
        <v>882</v>
      </c>
      <c r="C131" s="477" t="s">
        <v>445</v>
      </c>
      <c r="D131" s="426"/>
      <c r="E131" s="66" t="s">
        <v>333</v>
      </c>
      <c r="F131" s="66" t="s">
        <v>347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s="228" customFormat="1" ht="15" customHeight="1" x14ac:dyDescent="0.2">
      <c r="A132" s="68" t="s">
        <v>334</v>
      </c>
      <c r="B132" s="68" t="s">
        <v>335</v>
      </c>
      <c r="C132" s="68" t="s">
        <v>336</v>
      </c>
      <c r="D132" s="68" t="s">
        <v>337</v>
      </c>
      <c r="E132" s="68" t="s">
        <v>338</v>
      </c>
      <c r="F132" s="68" t="s">
        <v>329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s="228" customFormat="1" ht="30.75" x14ac:dyDescent="0.25">
      <c r="A133" s="69" t="s">
        <v>898</v>
      </c>
      <c r="B133" s="70" t="s">
        <v>899</v>
      </c>
      <c r="C133" s="69" t="s">
        <v>524</v>
      </c>
      <c r="D133" s="69">
        <v>0.36</v>
      </c>
      <c r="E133" s="71">
        <v>859.36</v>
      </c>
      <c r="F133" s="72">
        <f t="shared" ref="F133:F135" si="17">E133*D133</f>
        <v>309.36959999999999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s="228" customFormat="1" ht="15.75" x14ac:dyDescent="0.25">
      <c r="A134" s="69" t="s">
        <v>538</v>
      </c>
      <c r="B134" s="70" t="s">
        <v>539</v>
      </c>
      <c r="C134" s="69" t="s">
        <v>342</v>
      </c>
      <c r="D134" s="69">
        <v>1</v>
      </c>
      <c r="E134" s="71">
        <v>27.86</v>
      </c>
      <c r="F134" s="71">
        <f t="shared" si="17"/>
        <v>27.86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228" customFormat="1" ht="15.75" x14ac:dyDescent="0.25">
      <c r="A135" s="69" t="s">
        <v>900</v>
      </c>
      <c r="B135" s="70" t="s">
        <v>901</v>
      </c>
      <c r="C135" s="69" t="s">
        <v>342</v>
      </c>
      <c r="D135" s="69">
        <v>1</v>
      </c>
      <c r="E135" s="71">
        <v>21.88</v>
      </c>
      <c r="F135" s="71">
        <f t="shared" si="17"/>
        <v>21.88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s="228" customFormat="1" ht="15.75" x14ac:dyDescent="0.25">
      <c r="A136" s="73"/>
      <c r="B136" s="74" t="s">
        <v>344</v>
      </c>
      <c r="C136" s="73"/>
      <c r="D136" s="73"/>
      <c r="E136" s="75" t="s">
        <v>329</v>
      </c>
      <c r="F136" s="76">
        <f>SUM(F133:F135)</f>
        <v>359.1096</v>
      </c>
      <c r="G136" s="1" t="s">
        <v>345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8" spans="1:26" s="228" customFormat="1" ht="63" x14ac:dyDescent="0.2">
      <c r="A138" s="67" t="s">
        <v>902</v>
      </c>
      <c r="B138" s="67" t="s">
        <v>881</v>
      </c>
      <c r="C138" s="477" t="s">
        <v>445</v>
      </c>
      <c r="D138" s="426"/>
      <c r="E138" s="66" t="s">
        <v>333</v>
      </c>
      <c r="F138" s="66" t="s">
        <v>340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s="228" customFormat="1" ht="15" customHeight="1" x14ac:dyDescent="0.2">
      <c r="A139" s="68" t="s">
        <v>334</v>
      </c>
      <c r="B139" s="68" t="s">
        <v>335</v>
      </c>
      <c r="C139" s="68" t="s">
        <v>336</v>
      </c>
      <c r="D139" s="68" t="s">
        <v>337</v>
      </c>
      <c r="E139" s="68" t="s">
        <v>338</v>
      </c>
      <c r="F139" s="68" t="s">
        <v>329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s="228" customFormat="1" ht="30.75" x14ac:dyDescent="0.25">
      <c r="A140" s="69" t="s">
        <v>903</v>
      </c>
      <c r="B140" s="70" t="s">
        <v>904</v>
      </c>
      <c r="C140" s="69" t="s">
        <v>760</v>
      </c>
      <c r="D140" s="69">
        <v>5.0999999999999997E-2</v>
      </c>
      <c r="E140" s="71">
        <v>7.73</v>
      </c>
      <c r="F140" s="72">
        <f t="shared" ref="F140:F145" si="18">E140*D140</f>
        <v>0.39422999999999997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s="228" customFormat="1" ht="30.75" x14ac:dyDescent="0.25">
      <c r="A141" s="69" t="s">
        <v>905</v>
      </c>
      <c r="B141" s="70" t="s">
        <v>906</v>
      </c>
      <c r="C141" s="69" t="s">
        <v>479</v>
      </c>
      <c r="D141" s="69">
        <v>1.091</v>
      </c>
      <c r="E141" s="71">
        <v>12.59</v>
      </c>
      <c r="F141" s="71">
        <f t="shared" si="18"/>
        <v>13.73569</v>
      </c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s="228" customFormat="1" ht="30.75" x14ac:dyDescent="0.25">
      <c r="A142" s="69" t="s">
        <v>907</v>
      </c>
      <c r="B142" s="70" t="s">
        <v>908</v>
      </c>
      <c r="C142" s="69" t="s">
        <v>342</v>
      </c>
      <c r="D142" s="69">
        <v>4.7000000000000002E-3</v>
      </c>
      <c r="E142" s="71">
        <v>20.69</v>
      </c>
      <c r="F142" s="71">
        <f t="shared" si="18"/>
        <v>9.724300000000001E-2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s="228" customFormat="1" ht="30.75" x14ac:dyDescent="0.25">
      <c r="A143" s="69" t="s">
        <v>909</v>
      </c>
      <c r="B143" s="70" t="s">
        <v>910</v>
      </c>
      <c r="C143" s="69" t="s">
        <v>342</v>
      </c>
      <c r="D143" s="69">
        <v>2.9000000000000001E-2</v>
      </c>
      <c r="E143" s="71">
        <v>23.45</v>
      </c>
      <c r="F143" s="71">
        <f t="shared" si="18"/>
        <v>0.68005000000000004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s="228" customFormat="1" ht="30.75" x14ac:dyDescent="0.25">
      <c r="A144" s="69" t="s">
        <v>911</v>
      </c>
      <c r="B144" s="70" t="s">
        <v>912</v>
      </c>
      <c r="C144" s="69" t="s">
        <v>375</v>
      </c>
      <c r="D144" s="69">
        <v>3.5842400000000003E-2</v>
      </c>
      <c r="E144" s="71">
        <v>26.42</v>
      </c>
      <c r="F144" s="71">
        <f t="shared" si="18"/>
        <v>0.94695620800000013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s="228" customFormat="1" ht="45.75" x14ac:dyDescent="0.25">
      <c r="A145" s="69" t="s">
        <v>913</v>
      </c>
      <c r="B145" s="70" t="s">
        <v>422</v>
      </c>
      <c r="C145" s="69" t="s">
        <v>375</v>
      </c>
      <c r="D145" s="69">
        <v>3.5842400000000003E-2</v>
      </c>
      <c r="E145" s="71">
        <v>10.93</v>
      </c>
      <c r="F145" s="71">
        <f t="shared" si="18"/>
        <v>0.39175743200000002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s="228" customFormat="1" ht="15.75" x14ac:dyDescent="0.25">
      <c r="A146" s="73"/>
      <c r="B146" s="74" t="s">
        <v>344</v>
      </c>
      <c r="C146" s="73"/>
      <c r="D146" s="73"/>
      <c r="E146" s="75" t="s">
        <v>329</v>
      </c>
      <c r="F146" s="76">
        <f>SUM(F140:F145)</f>
        <v>16.24592664</v>
      </c>
      <c r="G146" s="1" t="s">
        <v>345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8" spans="1:26" s="228" customFormat="1" ht="47.25" x14ac:dyDescent="0.2">
      <c r="A148" s="67" t="s">
        <v>914</v>
      </c>
      <c r="B148" s="67" t="s">
        <v>884</v>
      </c>
      <c r="C148" s="477" t="s">
        <v>445</v>
      </c>
      <c r="D148" s="426"/>
      <c r="E148" s="66" t="s">
        <v>333</v>
      </c>
      <c r="F148" s="66" t="s">
        <v>8</v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s="228" customFormat="1" ht="15" customHeight="1" x14ac:dyDescent="0.2">
      <c r="A149" s="68" t="s">
        <v>334</v>
      </c>
      <c r="B149" s="68" t="s">
        <v>335</v>
      </c>
      <c r="C149" s="68" t="s">
        <v>336</v>
      </c>
      <c r="D149" s="68" t="s">
        <v>337</v>
      </c>
      <c r="E149" s="68" t="s">
        <v>338</v>
      </c>
      <c r="F149" s="68" t="s">
        <v>329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s="228" customFormat="1" ht="30.75" x14ac:dyDescent="0.25">
      <c r="A150" s="69" t="s">
        <v>915</v>
      </c>
      <c r="B150" s="70" t="s">
        <v>916</v>
      </c>
      <c r="C150" s="69" t="s">
        <v>479</v>
      </c>
      <c r="D150" s="69">
        <v>16.64</v>
      </c>
      <c r="E150" s="71">
        <v>11.67</v>
      </c>
      <c r="F150" s="72">
        <f t="shared" ref="F150:F155" si="19">E150*D150</f>
        <v>194.18880000000001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228" customFormat="1" ht="15.75" x14ac:dyDescent="0.25">
      <c r="A151" s="69" t="s">
        <v>917</v>
      </c>
      <c r="B151" s="70" t="s">
        <v>918</v>
      </c>
      <c r="C151" s="69" t="s">
        <v>479</v>
      </c>
      <c r="D151" s="69">
        <v>0.23400000000000001</v>
      </c>
      <c r="E151" s="71">
        <v>39.700000000000003</v>
      </c>
      <c r="F151" s="71">
        <f t="shared" si="19"/>
        <v>9.2898000000000014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s="228" customFormat="1" ht="30.75" x14ac:dyDescent="0.25">
      <c r="A152" s="69" t="s">
        <v>919</v>
      </c>
      <c r="B152" s="70" t="s">
        <v>920</v>
      </c>
      <c r="C152" s="69" t="s">
        <v>479</v>
      </c>
      <c r="D152" s="69">
        <v>60.71</v>
      </c>
      <c r="E152" s="71">
        <v>12.29</v>
      </c>
      <c r="F152" s="71">
        <f t="shared" si="19"/>
        <v>746.1259</v>
      </c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s="228" customFormat="1" ht="30.75" x14ac:dyDescent="0.25">
      <c r="A153" s="69" t="s">
        <v>909</v>
      </c>
      <c r="B153" s="70" t="s">
        <v>910</v>
      </c>
      <c r="C153" s="69" t="s">
        <v>342</v>
      </c>
      <c r="D153" s="69">
        <v>1.4219999999999999</v>
      </c>
      <c r="E153" s="71">
        <v>23.45</v>
      </c>
      <c r="F153" s="71">
        <f t="shared" si="19"/>
        <v>33.3459</v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s="228" customFormat="1" ht="15.75" x14ac:dyDescent="0.25">
      <c r="A154" s="69" t="s">
        <v>474</v>
      </c>
      <c r="B154" s="70" t="s">
        <v>358</v>
      </c>
      <c r="C154" s="69" t="s">
        <v>342</v>
      </c>
      <c r="D154" s="69">
        <v>0.32800000000000001</v>
      </c>
      <c r="E154" s="71">
        <v>20.38</v>
      </c>
      <c r="F154" s="71">
        <f t="shared" si="19"/>
        <v>6.6846399999999999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s="228" customFormat="1" ht="45.75" x14ac:dyDescent="0.25">
      <c r="A155" s="69" t="s">
        <v>921</v>
      </c>
      <c r="B155" s="70" t="s">
        <v>922</v>
      </c>
      <c r="C155" s="69" t="s">
        <v>666</v>
      </c>
      <c r="D155" s="69">
        <v>1</v>
      </c>
      <c r="E155" s="71">
        <v>194.37</v>
      </c>
      <c r="F155" s="71">
        <f t="shared" si="19"/>
        <v>194.37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s="228" customFormat="1" ht="15.75" x14ac:dyDescent="0.25">
      <c r="A156" s="73"/>
      <c r="B156" s="74" t="s">
        <v>344</v>
      </c>
      <c r="C156" s="73"/>
      <c r="D156" s="73"/>
      <c r="E156" s="75" t="s">
        <v>329</v>
      </c>
      <c r="F156" s="76">
        <f>SUM(F150:F155)</f>
        <v>1184.00504</v>
      </c>
      <c r="G156" s="1" t="s">
        <v>345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8" spans="1:26" s="228" customFormat="1" ht="63" x14ac:dyDescent="0.2">
      <c r="A158" s="67" t="s">
        <v>923</v>
      </c>
      <c r="B158" s="67" t="s">
        <v>886</v>
      </c>
      <c r="C158" s="477" t="s">
        <v>445</v>
      </c>
      <c r="D158" s="426"/>
      <c r="E158" s="66" t="s">
        <v>333</v>
      </c>
      <c r="F158" s="66" t="s">
        <v>340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s="228" customFormat="1" ht="15" customHeight="1" x14ac:dyDescent="0.2">
      <c r="A159" s="68" t="s">
        <v>334</v>
      </c>
      <c r="B159" s="68" t="s">
        <v>335</v>
      </c>
      <c r="C159" s="68" t="s">
        <v>336</v>
      </c>
      <c r="D159" s="68" t="s">
        <v>337</v>
      </c>
      <c r="E159" s="68" t="s">
        <v>338</v>
      </c>
      <c r="F159" s="68" t="s">
        <v>329</v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s="228" customFormat="1" ht="30.75" x14ac:dyDescent="0.25">
      <c r="A160" s="69" t="s">
        <v>924</v>
      </c>
      <c r="B160" s="70" t="s">
        <v>925</v>
      </c>
      <c r="C160" s="69" t="s">
        <v>926</v>
      </c>
      <c r="D160" s="69">
        <v>1.6000000000000001E-3</v>
      </c>
      <c r="E160" s="71">
        <v>262.17</v>
      </c>
      <c r="F160" s="72">
        <f t="shared" ref="F160:F165" si="20">E160*D160</f>
        <v>0.41947200000000007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s="228" customFormat="1" ht="30.75" x14ac:dyDescent="0.25">
      <c r="A161" s="69" t="s">
        <v>927</v>
      </c>
      <c r="B161" s="70" t="s">
        <v>928</v>
      </c>
      <c r="C161" s="69" t="s">
        <v>479</v>
      </c>
      <c r="D161" s="69">
        <v>1</v>
      </c>
      <c r="E161" s="71">
        <v>12.59</v>
      </c>
      <c r="F161" s="71">
        <f t="shared" si="20"/>
        <v>12.59</v>
      </c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s="228" customFormat="1" ht="30.75" x14ac:dyDescent="0.25">
      <c r="A162" s="69" t="s">
        <v>909</v>
      </c>
      <c r="B162" s="70" t="s">
        <v>910</v>
      </c>
      <c r="C162" s="69" t="s">
        <v>342</v>
      </c>
      <c r="D162" s="69">
        <v>4.9200000000000001E-2</v>
      </c>
      <c r="E162" s="71">
        <v>23.45</v>
      </c>
      <c r="F162" s="71">
        <f t="shared" si="20"/>
        <v>1.15374</v>
      </c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s="228" customFormat="1" ht="15.75" x14ac:dyDescent="0.25">
      <c r="A163" s="69" t="s">
        <v>474</v>
      </c>
      <c r="B163" s="70" t="s">
        <v>358</v>
      </c>
      <c r="C163" s="69" t="s">
        <v>342</v>
      </c>
      <c r="D163" s="69">
        <v>2.4500000000000001E-2</v>
      </c>
      <c r="E163" s="71">
        <v>20.38</v>
      </c>
      <c r="F163" s="71">
        <f t="shared" si="20"/>
        <v>0.49930999999999998</v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s="228" customFormat="1" ht="30.75" x14ac:dyDescent="0.25">
      <c r="A164" s="69" t="s">
        <v>860</v>
      </c>
      <c r="B164" s="70" t="s">
        <v>861</v>
      </c>
      <c r="C164" s="69" t="s">
        <v>862</v>
      </c>
      <c r="D164" s="69">
        <v>1.6000000000000001E-3</v>
      </c>
      <c r="E164" s="71">
        <v>28.98</v>
      </c>
      <c r="F164" s="71">
        <f t="shared" si="20"/>
        <v>4.6367999999999999E-2</v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s="228" customFormat="1" ht="30.75" x14ac:dyDescent="0.25">
      <c r="A165" s="69" t="s">
        <v>863</v>
      </c>
      <c r="B165" s="70" t="s">
        <v>864</v>
      </c>
      <c r="C165" s="69" t="s">
        <v>865</v>
      </c>
      <c r="D165" s="69">
        <v>2.2000000000000001E-3</v>
      </c>
      <c r="E165" s="71">
        <v>28.14</v>
      </c>
      <c r="F165" s="71">
        <f t="shared" si="20"/>
        <v>6.1908000000000005E-2</v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s="228" customFormat="1" ht="15.75" x14ac:dyDescent="0.25">
      <c r="A166" s="73"/>
      <c r="B166" s="74" t="s">
        <v>344</v>
      </c>
      <c r="C166" s="73"/>
      <c r="D166" s="73"/>
      <c r="E166" s="75" t="s">
        <v>329</v>
      </c>
      <c r="F166" s="76">
        <f>SUM(F160:F165)</f>
        <v>14.770798000000001</v>
      </c>
      <c r="G166" s="1" t="s">
        <v>345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8" spans="1:26" s="251" customFormat="1" ht="47.25" x14ac:dyDescent="0.2">
      <c r="A168" s="67" t="s">
        <v>401</v>
      </c>
      <c r="B168" s="67" t="s">
        <v>402</v>
      </c>
      <c r="C168" s="477" t="s">
        <v>445</v>
      </c>
      <c r="D168" s="426"/>
      <c r="E168" s="66" t="s">
        <v>333</v>
      </c>
      <c r="F168" s="66" t="s">
        <v>375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s="251" customFormat="1" ht="15" customHeight="1" x14ac:dyDescent="0.2">
      <c r="A169" s="68" t="s">
        <v>334</v>
      </c>
      <c r="B169" s="68" t="s">
        <v>335</v>
      </c>
      <c r="C169" s="68" t="s">
        <v>336</v>
      </c>
      <c r="D169" s="68" t="s">
        <v>337</v>
      </c>
      <c r="E169" s="68" t="s">
        <v>338</v>
      </c>
      <c r="F169" s="68" t="s">
        <v>329</v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s="251" customFormat="1" ht="30.75" x14ac:dyDescent="0.25">
      <c r="A170" s="69" t="s">
        <v>1026</v>
      </c>
      <c r="B170" s="70" t="s">
        <v>1027</v>
      </c>
      <c r="C170" s="69" t="s">
        <v>524</v>
      </c>
      <c r="D170" s="69">
        <v>1.071</v>
      </c>
      <c r="E170" s="71">
        <v>24.21</v>
      </c>
      <c r="F170" s="72">
        <f t="shared" ref="F170:F174" si="21">E170*D170</f>
        <v>25.928909999999998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s="251" customFormat="1" ht="15.75" x14ac:dyDescent="0.25">
      <c r="A171" s="69" t="s">
        <v>1028</v>
      </c>
      <c r="B171" s="70" t="s">
        <v>1029</v>
      </c>
      <c r="C171" s="69" t="s">
        <v>479</v>
      </c>
      <c r="D171" s="69">
        <v>9.1325000000000003</v>
      </c>
      <c r="E171" s="71">
        <v>1.21</v>
      </c>
      <c r="F171" s="71">
        <f t="shared" si="21"/>
        <v>11.050325000000001</v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s="251" customFormat="1" ht="15.75" x14ac:dyDescent="0.25">
      <c r="A172" s="69" t="s">
        <v>1030</v>
      </c>
      <c r="B172" s="70" t="s">
        <v>1031</v>
      </c>
      <c r="C172" s="69" t="s">
        <v>479</v>
      </c>
      <c r="D172" s="69">
        <v>0.188</v>
      </c>
      <c r="E172" s="71">
        <v>3.81</v>
      </c>
      <c r="F172" s="71">
        <f t="shared" si="21"/>
        <v>0.71628000000000003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s="251" customFormat="1" ht="15.75" x14ac:dyDescent="0.25">
      <c r="A173" s="69" t="s">
        <v>1032</v>
      </c>
      <c r="B173" s="70" t="s">
        <v>1033</v>
      </c>
      <c r="C173" s="69" t="s">
        <v>342</v>
      </c>
      <c r="D173" s="69">
        <v>0.51429999999999998</v>
      </c>
      <c r="E173" s="71">
        <v>27.94</v>
      </c>
      <c r="F173" s="71">
        <f t="shared" si="21"/>
        <v>14.369542000000001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251" customFormat="1" ht="15.75" x14ac:dyDescent="0.25">
      <c r="A174" s="69" t="s">
        <v>474</v>
      </c>
      <c r="B174" s="70" t="s">
        <v>358</v>
      </c>
      <c r="C174" s="69" t="s">
        <v>342</v>
      </c>
      <c r="D174" s="69">
        <v>0.1666</v>
      </c>
      <c r="E174" s="71">
        <v>20.38</v>
      </c>
      <c r="F174" s="71">
        <f t="shared" si="21"/>
        <v>3.395308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s="251" customFormat="1" ht="15.75" x14ac:dyDescent="0.25">
      <c r="A175" s="73"/>
      <c r="B175" s="74" t="s">
        <v>344</v>
      </c>
      <c r="C175" s="73"/>
      <c r="D175" s="73"/>
      <c r="E175" s="75" t="s">
        <v>329</v>
      </c>
      <c r="F175" s="76">
        <f>SUM(F170:F174)</f>
        <v>55.460365000000003</v>
      </c>
      <c r="G175" s="1" t="s">
        <v>345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8" spans="1:6" ht="15" customHeight="1" x14ac:dyDescent="0.2">
      <c r="A178" s="485" t="s">
        <v>1023</v>
      </c>
      <c r="B178" s="435"/>
      <c r="C178" s="435"/>
      <c r="D178" s="435"/>
      <c r="E178" s="435"/>
      <c r="F178" s="436"/>
    </row>
    <row r="179" spans="1:6" ht="15" customHeight="1" x14ac:dyDescent="0.2">
      <c r="A179" s="288" t="s">
        <v>1036</v>
      </c>
      <c r="B179" s="268" t="s">
        <v>1010</v>
      </c>
      <c r="C179" s="289" t="s">
        <v>1012</v>
      </c>
      <c r="D179" s="486" t="s">
        <v>1013</v>
      </c>
      <c r="E179" s="487"/>
      <c r="F179" s="488"/>
    </row>
    <row r="180" spans="1:6" ht="15" customHeight="1" x14ac:dyDescent="0.2">
      <c r="A180" s="285"/>
      <c r="B180" s="268" t="s">
        <v>1011</v>
      </c>
      <c r="C180" s="268"/>
      <c r="D180" s="486" t="s">
        <v>1014</v>
      </c>
      <c r="E180" s="487"/>
      <c r="F180" s="488"/>
    </row>
    <row r="181" spans="1:6" ht="15" customHeight="1" x14ac:dyDescent="0.2">
      <c r="A181" s="285"/>
      <c r="B181" s="268" t="s">
        <v>1018</v>
      </c>
      <c r="C181" s="268"/>
      <c r="D181" s="486" t="s">
        <v>1015</v>
      </c>
      <c r="E181" s="487"/>
      <c r="F181" s="488"/>
    </row>
    <row r="182" spans="1:6" ht="15" customHeight="1" x14ac:dyDescent="0.2">
      <c r="A182" s="285"/>
      <c r="B182" s="268" t="s">
        <v>1016</v>
      </c>
      <c r="C182" s="268"/>
      <c r="D182" s="489" t="s">
        <v>1240</v>
      </c>
      <c r="E182" s="489"/>
      <c r="F182" s="490"/>
    </row>
    <row r="183" spans="1:6" ht="15" customHeight="1" x14ac:dyDescent="0.2">
      <c r="A183" s="288" t="s">
        <v>1036</v>
      </c>
      <c r="B183" s="268" t="s">
        <v>1017</v>
      </c>
      <c r="C183" s="268"/>
      <c r="D183" s="486" t="s">
        <v>1037</v>
      </c>
      <c r="E183" s="487"/>
      <c r="F183" s="488"/>
    </row>
    <row r="184" spans="1:6" ht="15" customHeight="1" x14ac:dyDescent="0.2">
      <c r="A184" s="285"/>
      <c r="B184" s="268" t="s">
        <v>1011</v>
      </c>
      <c r="C184" s="268"/>
      <c r="D184" s="268"/>
      <c r="E184" s="268"/>
      <c r="F184" s="275"/>
    </row>
    <row r="185" spans="1:6" ht="15" customHeight="1" x14ac:dyDescent="0.2">
      <c r="A185" s="285"/>
      <c r="B185" s="268" t="s">
        <v>1019</v>
      </c>
      <c r="C185" s="268"/>
      <c r="D185" s="268"/>
      <c r="E185" s="268"/>
      <c r="F185" s="275"/>
    </row>
    <row r="186" spans="1:6" ht="15" customHeight="1" x14ac:dyDescent="0.2">
      <c r="A186" s="285"/>
      <c r="B186" s="268" t="s">
        <v>1020</v>
      </c>
      <c r="C186" s="268"/>
      <c r="D186" s="268"/>
      <c r="E186" s="268"/>
      <c r="F186" s="275"/>
    </row>
    <row r="187" spans="1:6" ht="15" customHeight="1" x14ac:dyDescent="0.2">
      <c r="A187" s="290"/>
      <c r="B187" s="291" t="s">
        <v>1021</v>
      </c>
      <c r="C187" s="291"/>
      <c r="D187" s="291"/>
      <c r="E187" s="291"/>
      <c r="F187" s="292"/>
    </row>
  </sheetData>
  <mergeCells count="30">
    <mergeCell ref="D180:F180"/>
    <mergeCell ref="D181:F181"/>
    <mergeCell ref="D182:F182"/>
    <mergeCell ref="D183:F183"/>
    <mergeCell ref="C168:D168"/>
    <mergeCell ref="A6:F6"/>
    <mergeCell ref="A7:F7"/>
    <mergeCell ref="A178:F178"/>
    <mergeCell ref="D179:F179"/>
    <mergeCell ref="C131:D131"/>
    <mergeCell ref="C138:D138"/>
    <mergeCell ref="C148:D148"/>
    <mergeCell ref="C158:D158"/>
    <mergeCell ref="C78:D78"/>
    <mergeCell ref="C109:D109"/>
    <mergeCell ref="C118:D118"/>
    <mergeCell ref="C86:D86"/>
    <mergeCell ref="C94:D94"/>
    <mergeCell ref="C103:D103"/>
    <mergeCell ref="C69:D69"/>
    <mergeCell ref="C55:D55"/>
    <mergeCell ref="C60:D60"/>
    <mergeCell ref="C9:D9"/>
    <mergeCell ref="C17:D17"/>
    <mergeCell ref="C23:D23"/>
    <mergeCell ref="C27:D27"/>
    <mergeCell ref="C31:D31"/>
    <mergeCell ref="C37:D37"/>
    <mergeCell ref="C43:D43"/>
    <mergeCell ref="C51:D51"/>
  </mergeCells>
  <pageMargins left="0.23622047244094491" right="0.23622047244094491" top="0.74803149606299213" bottom="0.74803149606299213" header="0" footer="0"/>
  <pageSetup paperSize="9" scale="68" fitToHeight="0" orientation="portrait" r:id="rId1"/>
  <headerFooter>
    <oddFooter>&amp;R&amp;P de</oddFooter>
  </headerFooter>
  <rowBreaks count="1" manualBreakCount="1">
    <brk id="42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outlinePr summaryBelow="0" summaryRight="0"/>
    <pageSetUpPr fitToPage="1"/>
  </sheetPr>
  <dimension ref="A1:G974"/>
  <sheetViews>
    <sheetView showGridLines="0" topLeftCell="A35" zoomScale="85" zoomScaleNormal="85" workbookViewId="0">
      <selection activeCell="C69" sqref="C69"/>
    </sheetView>
  </sheetViews>
  <sheetFormatPr defaultColWidth="12.625" defaultRowHeight="15" customHeight="1" x14ac:dyDescent="0.2"/>
  <cols>
    <col min="1" max="1" width="13.625" customWidth="1"/>
    <col min="2" max="2" width="69.75" customWidth="1"/>
    <col min="3" max="3" width="9" customWidth="1"/>
    <col min="4" max="4" width="12.75" customWidth="1"/>
    <col min="5" max="5" width="13.75" customWidth="1"/>
    <col min="6" max="6" width="14.375" customWidth="1"/>
  </cols>
  <sheetData>
    <row r="1" spans="1:7" s="251" customFormat="1" ht="15" customHeight="1" x14ac:dyDescent="0.2">
      <c r="A1" s="284"/>
      <c r="B1" s="266"/>
      <c r="C1" s="266"/>
      <c r="D1" s="266"/>
      <c r="E1" s="266"/>
      <c r="F1" s="274"/>
    </row>
    <row r="2" spans="1:7" s="251" customFormat="1" ht="15" customHeight="1" x14ac:dyDescent="0.2">
      <c r="A2" s="285"/>
      <c r="B2" s="286" t="s">
        <v>986</v>
      </c>
      <c r="C2" s="268"/>
      <c r="D2" s="268"/>
      <c r="E2" s="268"/>
      <c r="F2" s="287"/>
      <c r="G2" s="281"/>
    </row>
    <row r="3" spans="1:7" s="251" customFormat="1" ht="15" customHeight="1" x14ac:dyDescent="0.2">
      <c r="A3" s="285"/>
      <c r="B3" s="286" t="s">
        <v>987</v>
      </c>
      <c r="C3" s="268"/>
      <c r="D3" s="268"/>
      <c r="E3" s="268"/>
      <c r="F3" s="287"/>
      <c r="G3" s="281"/>
    </row>
    <row r="4" spans="1:7" s="251" customFormat="1" ht="15" customHeight="1" x14ac:dyDescent="0.2">
      <c r="A4" s="285"/>
      <c r="B4" s="286" t="s">
        <v>988</v>
      </c>
      <c r="C4" s="268"/>
      <c r="D4" s="268"/>
      <c r="E4" s="268"/>
      <c r="F4" s="287"/>
      <c r="G4" s="281"/>
    </row>
    <row r="5" spans="1:7" s="251" customFormat="1" ht="15" customHeight="1" x14ac:dyDescent="0.2">
      <c r="A5" s="285"/>
      <c r="B5" s="268"/>
      <c r="C5" s="268"/>
      <c r="D5" s="268"/>
      <c r="E5" s="268"/>
      <c r="F5" s="275"/>
    </row>
    <row r="6" spans="1:7" s="251" customFormat="1" ht="19.5" x14ac:dyDescent="0.3">
      <c r="A6" s="479" t="s">
        <v>1043</v>
      </c>
      <c r="B6" s="480"/>
      <c r="C6" s="480"/>
      <c r="D6" s="480"/>
      <c r="E6" s="480"/>
      <c r="F6" s="481"/>
    </row>
    <row r="7" spans="1:7" s="251" customFormat="1" ht="15" customHeight="1" x14ac:dyDescent="0.2">
      <c r="A7" s="482" t="s">
        <v>1008</v>
      </c>
      <c r="B7" s="483"/>
      <c r="C7" s="483"/>
      <c r="D7" s="483"/>
      <c r="E7" s="483"/>
      <c r="F7" s="484"/>
    </row>
    <row r="8" spans="1:7" s="251" customFormat="1" ht="15" customHeight="1" x14ac:dyDescent="0.2">
      <c r="A8" s="294"/>
      <c r="B8" s="293"/>
      <c r="C8" s="293"/>
      <c r="D8" s="293"/>
      <c r="E8" s="293"/>
      <c r="F8" s="293"/>
    </row>
    <row r="9" spans="1:7" ht="47.25" x14ac:dyDescent="0.2">
      <c r="A9" s="97" t="s">
        <v>673</v>
      </c>
      <c r="B9" s="98" t="s">
        <v>674</v>
      </c>
      <c r="C9" s="491" t="s">
        <v>332</v>
      </c>
      <c r="D9" s="426"/>
      <c r="E9" s="97" t="s">
        <v>333</v>
      </c>
      <c r="F9" s="97" t="s">
        <v>347</v>
      </c>
    </row>
    <row r="10" spans="1:7" ht="14.25" x14ac:dyDescent="0.2">
      <c r="A10" s="99" t="s">
        <v>334</v>
      </c>
      <c r="B10" s="99" t="s">
        <v>335</v>
      </c>
      <c r="C10" s="99" t="s">
        <v>336</v>
      </c>
      <c r="D10" s="99" t="s">
        <v>337</v>
      </c>
      <c r="E10" s="99" t="s">
        <v>338</v>
      </c>
      <c r="F10" s="99" t="s">
        <v>329</v>
      </c>
    </row>
    <row r="11" spans="1:7" x14ac:dyDescent="0.2">
      <c r="A11" s="100" t="s">
        <v>762</v>
      </c>
      <c r="B11" s="101" t="s">
        <v>356</v>
      </c>
      <c r="C11" s="100" t="s">
        <v>342</v>
      </c>
      <c r="D11" s="100">
        <v>8.5199999999999998E-2</v>
      </c>
      <c r="E11" s="102">
        <v>32.299999999999997</v>
      </c>
      <c r="F11" s="102">
        <f t="shared" ref="F11:F15" si="0">E11*D11</f>
        <v>2.7519599999999995</v>
      </c>
    </row>
    <row r="12" spans="1:7" x14ac:dyDescent="0.2">
      <c r="A12" s="6" t="s">
        <v>763</v>
      </c>
      <c r="B12" s="78" t="s">
        <v>355</v>
      </c>
      <c r="C12" s="6" t="s">
        <v>342</v>
      </c>
      <c r="D12" s="6">
        <v>8.5199999999999998E-2</v>
      </c>
      <c r="E12" s="49">
        <v>22.39</v>
      </c>
      <c r="F12" s="49">
        <f t="shared" si="0"/>
        <v>1.9076280000000001</v>
      </c>
    </row>
    <row r="13" spans="1:7" x14ac:dyDescent="0.2">
      <c r="A13" s="6" t="s">
        <v>768</v>
      </c>
      <c r="B13" s="78" t="s">
        <v>764</v>
      </c>
      <c r="C13" s="6" t="s">
        <v>347</v>
      </c>
      <c r="D13" s="6">
        <v>0.98199999999999998</v>
      </c>
      <c r="E13" s="49">
        <v>29.406666666666666</v>
      </c>
      <c r="F13" s="49">
        <f t="shared" si="0"/>
        <v>28.877346666666664</v>
      </c>
    </row>
    <row r="14" spans="1:7" x14ac:dyDescent="0.2">
      <c r="A14" s="6" t="s">
        <v>769</v>
      </c>
      <c r="B14" s="78" t="s">
        <v>765</v>
      </c>
      <c r="C14" s="6" t="s">
        <v>761</v>
      </c>
      <c r="D14" s="6">
        <v>0.33300000000000002</v>
      </c>
      <c r="E14" s="49">
        <v>5.0233333333333334</v>
      </c>
      <c r="F14" s="49">
        <f t="shared" si="0"/>
        <v>1.6727700000000001</v>
      </c>
    </row>
    <row r="15" spans="1:7" ht="60" x14ac:dyDescent="0.2">
      <c r="A15" s="6" t="s">
        <v>766</v>
      </c>
      <c r="B15" s="78" t="s">
        <v>767</v>
      </c>
      <c r="C15" s="6" t="s">
        <v>347</v>
      </c>
      <c r="D15" s="6">
        <v>1</v>
      </c>
      <c r="E15" s="49">
        <v>57.41</v>
      </c>
      <c r="F15" s="49">
        <f t="shared" si="0"/>
        <v>57.41</v>
      </c>
    </row>
    <row r="16" spans="1:7" ht="15.75" x14ac:dyDescent="0.2">
      <c r="A16" s="103"/>
      <c r="B16" s="104" t="s">
        <v>344</v>
      </c>
      <c r="C16" s="103"/>
      <c r="D16" s="103"/>
      <c r="E16" s="103" t="s">
        <v>329</v>
      </c>
      <c r="F16" s="105">
        <f>SUM(F11:F15)</f>
        <v>92.619704666666664</v>
      </c>
      <c r="G16" s="123" t="s">
        <v>382</v>
      </c>
    </row>
    <row r="17" spans="1:7" ht="15.75" x14ac:dyDescent="0.2">
      <c r="A17" s="106"/>
      <c r="B17" s="107"/>
      <c r="C17" s="106"/>
      <c r="D17" s="106"/>
      <c r="E17" s="106"/>
      <c r="F17" s="108"/>
    </row>
    <row r="18" spans="1:7" ht="47.25" x14ac:dyDescent="0.2">
      <c r="A18" s="109" t="s">
        <v>675</v>
      </c>
      <c r="B18" s="110" t="s">
        <v>676</v>
      </c>
      <c r="C18" s="491" t="s">
        <v>332</v>
      </c>
      <c r="D18" s="426"/>
      <c r="E18" s="97" t="s">
        <v>333</v>
      </c>
      <c r="F18" s="97" t="s">
        <v>347</v>
      </c>
    </row>
    <row r="19" spans="1:7" x14ac:dyDescent="0.2">
      <c r="A19" s="6" t="s">
        <v>762</v>
      </c>
      <c r="B19" s="78" t="s">
        <v>356</v>
      </c>
      <c r="C19" s="6" t="s">
        <v>342</v>
      </c>
      <c r="D19" s="6">
        <v>7.3899999999999993E-2</v>
      </c>
      <c r="E19" s="49">
        <v>32.299999999999997</v>
      </c>
      <c r="F19" s="49">
        <f t="shared" ref="F19:F23" si="1">E19*D19</f>
        <v>2.3869699999999994</v>
      </c>
    </row>
    <row r="20" spans="1:7" x14ac:dyDescent="0.2">
      <c r="A20" s="6" t="s">
        <v>763</v>
      </c>
      <c r="B20" s="78" t="s">
        <v>355</v>
      </c>
      <c r="C20" s="6" t="s">
        <v>342</v>
      </c>
      <c r="D20" s="6">
        <v>7.3899999999999993E-2</v>
      </c>
      <c r="E20" s="49">
        <v>22.39</v>
      </c>
      <c r="F20" s="49">
        <f t="shared" si="1"/>
        <v>1.6546209999999999</v>
      </c>
    </row>
    <row r="21" spans="1:7" x14ac:dyDescent="0.2">
      <c r="A21" s="6" t="s">
        <v>786</v>
      </c>
      <c r="B21" s="78" t="s">
        <v>770</v>
      </c>
      <c r="C21" s="6" t="s">
        <v>347</v>
      </c>
      <c r="D21" s="6">
        <v>0.98199999999999998</v>
      </c>
      <c r="E21" s="49">
        <v>18.309999999999999</v>
      </c>
      <c r="F21" s="49">
        <f t="shared" si="1"/>
        <v>17.980419999999999</v>
      </c>
    </row>
    <row r="22" spans="1:7" s="210" customFormat="1" x14ac:dyDescent="0.2">
      <c r="A22" s="100" t="s">
        <v>787</v>
      </c>
      <c r="B22" s="101" t="s">
        <v>771</v>
      </c>
      <c r="C22" s="100" t="s">
        <v>761</v>
      </c>
      <c r="D22" s="100">
        <v>0.33300000000000002</v>
      </c>
      <c r="E22" s="102">
        <v>3.48</v>
      </c>
      <c r="F22" s="102">
        <f t="shared" ref="F22" si="2">E22*D22</f>
        <v>1.1588400000000001</v>
      </c>
    </row>
    <row r="23" spans="1:7" ht="60" x14ac:dyDescent="0.2">
      <c r="A23" s="100" t="s">
        <v>766</v>
      </c>
      <c r="B23" s="101" t="s">
        <v>767</v>
      </c>
      <c r="C23" s="100" t="s">
        <v>347</v>
      </c>
      <c r="D23" s="100">
        <v>1</v>
      </c>
      <c r="E23" s="102">
        <v>57.41</v>
      </c>
      <c r="F23" s="102">
        <f t="shared" si="1"/>
        <v>57.41</v>
      </c>
    </row>
    <row r="24" spans="1:7" ht="15.75" x14ac:dyDescent="0.2">
      <c r="A24" s="103"/>
      <c r="B24" s="104" t="s">
        <v>344</v>
      </c>
      <c r="C24" s="103"/>
      <c r="D24" s="103"/>
      <c r="E24" s="103" t="s">
        <v>329</v>
      </c>
      <c r="F24" s="105">
        <f>SUM(F19:F23)</f>
        <v>80.590851000000001</v>
      </c>
      <c r="G24" s="123" t="s">
        <v>382</v>
      </c>
    </row>
    <row r="25" spans="1:7" ht="15.75" x14ac:dyDescent="0.2">
      <c r="A25" s="111"/>
      <c r="B25" s="107"/>
      <c r="C25" s="111"/>
      <c r="D25" s="111"/>
      <c r="E25" s="106"/>
      <c r="F25" s="108"/>
    </row>
    <row r="26" spans="1:7" ht="15.75" x14ac:dyDescent="0.2">
      <c r="A26" s="112" t="s">
        <v>729</v>
      </c>
      <c r="B26" s="98" t="s">
        <v>730</v>
      </c>
      <c r="C26" s="493" t="s">
        <v>332</v>
      </c>
      <c r="D26" s="426"/>
      <c r="E26" s="97" t="s">
        <v>333</v>
      </c>
      <c r="F26" s="97" t="s">
        <v>761</v>
      </c>
    </row>
    <row r="27" spans="1:7" ht="45" x14ac:dyDescent="0.2">
      <c r="A27" s="6" t="s">
        <v>772</v>
      </c>
      <c r="B27" s="113" t="s">
        <v>773</v>
      </c>
      <c r="C27" s="6" t="s">
        <v>760</v>
      </c>
      <c r="D27" s="6">
        <v>0.67</v>
      </c>
      <c r="E27" s="49">
        <v>273.3</v>
      </c>
      <c r="F27" s="49">
        <f t="shared" ref="F27:F30" si="3">E27*D27</f>
        <v>183.11100000000002</v>
      </c>
    </row>
    <row r="28" spans="1:7" s="210" customFormat="1" x14ac:dyDescent="0.2">
      <c r="A28" s="6" t="s">
        <v>788</v>
      </c>
      <c r="B28" s="78" t="s">
        <v>774</v>
      </c>
      <c r="C28" s="6" t="s">
        <v>761</v>
      </c>
      <c r="D28" s="6">
        <v>6</v>
      </c>
      <c r="E28" s="49">
        <v>22.26</v>
      </c>
      <c r="F28" s="49">
        <f t="shared" ref="F28:F29" si="4">E28*D28</f>
        <v>133.56</v>
      </c>
    </row>
    <row r="29" spans="1:7" s="210" customFormat="1" x14ac:dyDescent="0.2">
      <c r="A29" s="100" t="s">
        <v>763</v>
      </c>
      <c r="B29" s="101" t="s">
        <v>355</v>
      </c>
      <c r="C29" s="100" t="s">
        <v>342</v>
      </c>
      <c r="D29" s="100">
        <v>2</v>
      </c>
      <c r="E29" s="102">
        <v>22.39</v>
      </c>
      <c r="F29" s="102">
        <f t="shared" si="4"/>
        <v>44.78</v>
      </c>
    </row>
    <row r="30" spans="1:7" x14ac:dyDescent="0.2">
      <c r="A30" s="6" t="s">
        <v>762</v>
      </c>
      <c r="B30" s="78" t="s">
        <v>356</v>
      </c>
      <c r="C30" s="6" t="s">
        <v>342</v>
      </c>
      <c r="D30" s="6">
        <v>2</v>
      </c>
      <c r="E30" s="49">
        <v>32.299999999999997</v>
      </c>
      <c r="F30" s="49">
        <f t="shared" si="3"/>
        <v>64.599999999999994</v>
      </c>
    </row>
    <row r="31" spans="1:7" ht="15.75" x14ac:dyDescent="0.2">
      <c r="A31" s="103"/>
      <c r="B31" s="104" t="s">
        <v>344</v>
      </c>
      <c r="C31" s="103"/>
      <c r="D31" s="103"/>
      <c r="E31" s="103" t="s">
        <v>329</v>
      </c>
      <c r="F31" s="105">
        <f>SUM(F27:F30)</f>
        <v>426.05100000000004</v>
      </c>
      <c r="G31" s="123" t="s">
        <v>382</v>
      </c>
    </row>
    <row r="32" spans="1:7" ht="15.75" x14ac:dyDescent="0.2">
      <c r="A32" s="111"/>
      <c r="B32" s="107"/>
      <c r="C32" s="111"/>
      <c r="D32" s="111"/>
      <c r="E32" s="106"/>
      <c r="F32" s="108"/>
    </row>
    <row r="33" spans="1:7" ht="31.5" x14ac:dyDescent="0.2">
      <c r="A33" s="112" t="s">
        <v>734</v>
      </c>
      <c r="B33" s="98" t="s">
        <v>735</v>
      </c>
      <c r="C33" s="493" t="s">
        <v>332</v>
      </c>
      <c r="D33" s="426"/>
      <c r="E33" s="97" t="s">
        <v>333</v>
      </c>
      <c r="F33" s="97" t="s">
        <v>761</v>
      </c>
    </row>
    <row r="34" spans="1:7" x14ac:dyDescent="0.2">
      <c r="A34" s="6" t="s">
        <v>775</v>
      </c>
      <c r="B34" s="113" t="s">
        <v>776</v>
      </c>
      <c r="C34" s="6" t="s">
        <v>760</v>
      </c>
      <c r="D34" s="6">
        <v>1</v>
      </c>
      <c r="E34" s="49">
        <v>4.22</v>
      </c>
      <c r="F34" s="49">
        <f t="shared" ref="F34:F37" si="5">E34*D34</f>
        <v>4.22</v>
      </c>
    </row>
    <row r="35" spans="1:7" x14ac:dyDescent="0.2">
      <c r="A35" s="6" t="s">
        <v>789</v>
      </c>
      <c r="B35" s="78" t="s">
        <v>777</v>
      </c>
      <c r="C35" s="6" t="s">
        <v>761</v>
      </c>
      <c r="D35" s="6">
        <v>1</v>
      </c>
      <c r="E35" s="49">
        <v>24.99</v>
      </c>
      <c r="F35" s="49">
        <f t="shared" si="5"/>
        <v>24.99</v>
      </c>
    </row>
    <row r="36" spans="1:7" s="210" customFormat="1" x14ac:dyDescent="0.2">
      <c r="A36" s="100" t="s">
        <v>763</v>
      </c>
      <c r="B36" s="101" t="s">
        <v>355</v>
      </c>
      <c r="C36" s="100" t="s">
        <v>342</v>
      </c>
      <c r="D36" s="100">
        <v>6.9000000000000006E-2</v>
      </c>
      <c r="E36" s="102">
        <v>22.39</v>
      </c>
      <c r="F36" s="102">
        <f t="shared" ref="F36" si="6">E36*D36</f>
        <v>1.5449100000000002</v>
      </c>
    </row>
    <row r="37" spans="1:7" x14ac:dyDescent="0.2">
      <c r="A37" s="100" t="s">
        <v>762</v>
      </c>
      <c r="B37" s="101" t="s">
        <v>356</v>
      </c>
      <c r="C37" s="100" t="s">
        <v>342</v>
      </c>
      <c r="D37" s="100">
        <v>0.16550000000000001</v>
      </c>
      <c r="E37" s="102">
        <v>32.299999999999997</v>
      </c>
      <c r="F37" s="102">
        <f t="shared" si="5"/>
        <v>5.34565</v>
      </c>
    </row>
    <row r="38" spans="1:7" ht="15.75" x14ac:dyDescent="0.2">
      <c r="A38" s="103"/>
      <c r="B38" s="104" t="s">
        <v>344</v>
      </c>
      <c r="C38" s="103"/>
      <c r="D38" s="103"/>
      <c r="E38" s="103" t="s">
        <v>329</v>
      </c>
      <c r="F38" s="105">
        <f>SUM(F34:F37)</f>
        <v>36.100560000000002</v>
      </c>
      <c r="G38" s="123" t="s">
        <v>382</v>
      </c>
    </row>
    <row r="39" spans="1:7" ht="15.75" x14ac:dyDescent="0.2">
      <c r="A39" s="106"/>
      <c r="B39" s="107"/>
      <c r="C39" s="106"/>
      <c r="D39" s="106"/>
      <c r="E39" s="106"/>
      <c r="F39" s="108"/>
    </row>
    <row r="40" spans="1:7" ht="31.5" x14ac:dyDescent="0.2">
      <c r="A40" s="112" t="s">
        <v>736</v>
      </c>
      <c r="B40" s="98" t="s">
        <v>737</v>
      </c>
      <c r="C40" s="493" t="s">
        <v>332</v>
      </c>
      <c r="D40" s="426"/>
      <c r="E40" s="97" t="s">
        <v>333</v>
      </c>
      <c r="F40" s="97" t="s">
        <v>761</v>
      </c>
    </row>
    <row r="41" spans="1:7" x14ac:dyDescent="0.2">
      <c r="A41" s="6" t="s">
        <v>775</v>
      </c>
      <c r="B41" s="113" t="s">
        <v>776</v>
      </c>
      <c r="C41" s="6" t="s">
        <v>760</v>
      </c>
      <c r="D41" s="6">
        <v>1</v>
      </c>
      <c r="E41" s="49">
        <v>4.22</v>
      </c>
      <c r="F41" s="49">
        <f t="shared" ref="F41:F44" si="7">E41*D41</f>
        <v>4.22</v>
      </c>
    </row>
    <row r="42" spans="1:7" ht="30" x14ac:dyDescent="0.2">
      <c r="A42" s="6" t="s">
        <v>790</v>
      </c>
      <c r="B42" s="78" t="s">
        <v>778</v>
      </c>
      <c r="C42" s="6" t="s">
        <v>761</v>
      </c>
      <c r="D42" s="6">
        <v>1</v>
      </c>
      <c r="E42" s="49">
        <v>61.866666666666667</v>
      </c>
      <c r="F42" s="49">
        <f t="shared" si="7"/>
        <v>61.866666666666667</v>
      </c>
    </row>
    <row r="43" spans="1:7" s="210" customFormat="1" x14ac:dyDescent="0.2">
      <c r="A43" s="100" t="s">
        <v>763</v>
      </c>
      <c r="B43" s="101" t="s">
        <v>355</v>
      </c>
      <c r="C43" s="100" t="s">
        <v>342</v>
      </c>
      <c r="D43" s="100">
        <v>6.9000000000000006E-2</v>
      </c>
      <c r="E43" s="102">
        <v>22.39</v>
      </c>
      <c r="F43" s="102">
        <f t="shared" ref="F43" si="8">E43*D43</f>
        <v>1.5449100000000002</v>
      </c>
    </row>
    <row r="44" spans="1:7" x14ac:dyDescent="0.2">
      <c r="A44" s="100" t="s">
        <v>762</v>
      </c>
      <c r="B44" s="101" t="s">
        <v>356</v>
      </c>
      <c r="C44" s="100" t="s">
        <v>342</v>
      </c>
      <c r="D44" s="100">
        <v>0.16550000000000001</v>
      </c>
      <c r="E44" s="102">
        <v>32.299999999999997</v>
      </c>
      <c r="F44" s="102">
        <f t="shared" si="7"/>
        <v>5.34565</v>
      </c>
    </row>
    <row r="45" spans="1:7" ht="15.75" x14ac:dyDescent="0.2">
      <c r="A45" s="103"/>
      <c r="B45" s="104" t="s">
        <v>344</v>
      </c>
      <c r="C45" s="103"/>
      <c r="D45" s="103"/>
      <c r="E45" s="103" t="s">
        <v>329</v>
      </c>
      <c r="F45" s="105">
        <f>SUM(F41:F44)</f>
        <v>72.977226666666681</v>
      </c>
      <c r="G45" s="123" t="s">
        <v>382</v>
      </c>
    </row>
    <row r="46" spans="1:7" ht="15.75" x14ac:dyDescent="0.2">
      <c r="A46" s="106"/>
      <c r="B46" s="107"/>
      <c r="C46" s="106"/>
      <c r="D46" s="106"/>
      <c r="E46" s="106"/>
      <c r="F46" s="108"/>
    </row>
    <row r="47" spans="1:7" ht="31.5" x14ac:dyDescent="0.2">
      <c r="A47" s="112" t="s">
        <v>738</v>
      </c>
      <c r="B47" s="98" t="s">
        <v>739</v>
      </c>
      <c r="C47" s="493" t="s">
        <v>332</v>
      </c>
      <c r="D47" s="426"/>
      <c r="E47" s="97" t="s">
        <v>333</v>
      </c>
      <c r="F47" s="97" t="s">
        <v>761</v>
      </c>
    </row>
    <row r="48" spans="1:7" ht="30" x14ac:dyDescent="0.2">
      <c r="A48" s="6" t="s">
        <v>779</v>
      </c>
      <c r="B48" s="113" t="s">
        <v>780</v>
      </c>
      <c r="C48" s="6" t="s">
        <v>760</v>
      </c>
      <c r="D48" s="6">
        <v>1</v>
      </c>
      <c r="E48" s="49">
        <v>13.12</v>
      </c>
      <c r="F48" s="49">
        <f t="shared" ref="F48:F51" si="9">E48*D48</f>
        <v>13.12</v>
      </c>
    </row>
    <row r="49" spans="1:7" x14ac:dyDescent="0.2">
      <c r="A49" s="6" t="s">
        <v>791</v>
      </c>
      <c r="B49" s="78" t="s">
        <v>781</v>
      </c>
      <c r="C49" s="6" t="s">
        <v>761</v>
      </c>
      <c r="D49" s="6">
        <v>1</v>
      </c>
      <c r="E49" s="49">
        <v>17.213333333333335</v>
      </c>
      <c r="F49" s="49">
        <f t="shared" si="9"/>
        <v>17.213333333333335</v>
      </c>
    </row>
    <row r="50" spans="1:7" s="210" customFormat="1" x14ac:dyDescent="0.2">
      <c r="A50" s="100" t="s">
        <v>763</v>
      </c>
      <c r="B50" s="101" t="s">
        <v>355</v>
      </c>
      <c r="C50" s="100" t="s">
        <v>342</v>
      </c>
      <c r="D50" s="100">
        <v>6.9000000000000006E-2</v>
      </c>
      <c r="E50" s="102">
        <v>22.39</v>
      </c>
      <c r="F50" s="102">
        <f t="shared" ref="F50" si="10">E50*D50</f>
        <v>1.5449100000000002</v>
      </c>
    </row>
    <row r="51" spans="1:7" x14ac:dyDescent="0.2">
      <c r="A51" s="100" t="s">
        <v>762</v>
      </c>
      <c r="B51" s="101" t="s">
        <v>356</v>
      </c>
      <c r="C51" s="100" t="s">
        <v>342</v>
      </c>
      <c r="D51" s="100">
        <v>0.16550000000000001</v>
      </c>
      <c r="E51" s="102">
        <v>32.299999999999997</v>
      </c>
      <c r="F51" s="102">
        <f t="shared" si="9"/>
        <v>5.34565</v>
      </c>
    </row>
    <row r="52" spans="1:7" ht="15.75" x14ac:dyDescent="0.2">
      <c r="A52" s="103"/>
      <c r="B52" s="104" t="s">
        <v>344</v>
      </c>
      <c r="C52" s="103"/>
      <c r="D52" s="103"/>
      <c r="E52" s="103" t="s">
        <v>329</v>
      </c>
      <c r="F52" s="105">
        <f>SUM(F48:F51)</f>
        <v>37.223893333333336</v>
      </c>
      <c r="G52" s="123" t="s">
        <v>382</v>
      </c>
    </row>
    <row r="53" spans="1:7" ht="14.25" x14ac:dyDescent="0.2">
      <c r="A53" s="492"/>
      <c r="B53" s="424"/>
      <c r="C53" s="424"/>
      <c r="D53" s="424"/>
      <c r="E53" s="424"/>
      <c r="F53" s="426"/>
    </row>
    <row r="54" spans="1:7" ht="78.75" x14ac:dyDescent="0.2">
      <c r="A54" s="97" t="s">
        <v>740</v>
      </c>
      <c r="B54" s="98" t="s">
        <v>741</v>
      </c>
      <c r="C54" s="491" t="s">
        <v>332</v>
      </c>
      <c r="D54" s="426"/>
      <c r="E54" s="97" t="s">
        <v>333</v>
      </c>
      <c r="F54" s="97" t="s">
        <v>761</v>
      </c>
    </row>
    <row r="55" spans="1:7" ht="30" x14ac:dyDescent="0.2">
      <c r="A55" s="6" t="s">
        <v>782</v>
      </c>
      <c r="B55" s="101" t="s">
        <v>783</v>
      </c>
      <c r="C55" s="6" t="s">
        <v>760</v>
      </c>
      <c r="D55" s="6">
        <v>1.4E-2</v>
      </c>
      <c r="E55" s="49">
        <v>3.97</v>
      </c>
      <c r="F55" s="49">
        <f t="shared" ref="F55:F58" si="11">E55*D55</f>
        <v>5.5580000000000004E-2</v>
      </c>
    </row>
    <row r="56" spans="1:7" ht="30" x14ac:dyDescent="0.2">
      <c r="A56" s="6" t="s">
        <v>784</v>
      </c>
      <c r="B56" s="101" t="s">
        <v>785</v>
      </c>
      <c r="C56" s="6" t="s">
        <v>760</v>
      </c>
      <c r="D56" s="6">
        <v>1</v>
      </c>
      <c r="E56" s="49">
        <v>448.21</v>
      </c>
      <c r="F56" s="49">
        <f t="shared" si="11"/>
        <v>448.21</v>
      </c>
    </row>
    <row r="57" spans="1:7" x14ac:dyDescent="0.2">
      <c r="A57" s="6" t="s">
        <v>763</v>
      </c>
      <c r="B57" s="101" t="s">
        <v>355</v>
      </c>
      <c r="C57" s="6" t="s">
        <v>342</v>
      </c>
      <c r="D57" s="6">
        <v>0.23810000000000001</v>
      </c>
      <c r="E57" s="49">
        <v>22.39</v>
      </c>
      <c r="F57" s="49">
        <f t="shared" si="11"/>
        <v>5.3310590000000007</v>
      </c>
    </row>
    <row r="58" spans="1:7" x14ac:dyDescent="0.2">
      <c r="A58" s="100" t="s">
        <v>762</v>
      </c>
      <c r="B58" s="101" t="s">
        <v>356</v>
      </c>
      <c r="C58" s="100" t="s">
        <v>342</v>
      </c>
      <c r="D58" s="100">
        <v>0.23810000000000001</v>
      </c>
      <c r="E58" s="102">
        <v>32.299999999999997</v>
      </c>
      <c r="F58" s="102">
        <f t="shared" si="11"/>
        <v>7.6906299999999996</v>
      </c>
    </row>
    <row r="59" spans="1:7" ht="15.75" x14ac:dyDescent="0.2">
      <c r="A59" s="103"/>
      <c r="B59" s="104" t="s">
        <v>344</v>
      </c>
      <c r="C59" s="103"/>
      <c r="D59" s="103"/>
      <c r="E59" s="103" t="s">
        <v>329</v>
      </c>
      <c r="F59" s="105">
        <f>SUM(F55:F58)</f>
        <v>461.28726899999998</v>
      </c>
      <c r="G59" s="123" t="s">
        <v>382</v>
      </c>
    </row>
    <row r="60" spans="1:7" ht="15.75" customHeight="1" x14ac:dyDescent="0.2">
      <c r="A60" s="111"/>
      <c r="B60" s="111"/>
      <c r="C60" s="111"/>
      <c r="D60" s="111"/>
      <c r="E60" s="106"/>
      <c r="F60" s="108"/>
    </row>
    <row r="61" spans="1:7" ht="15.75" customHeight="1" x14ac:dyDescent="0.2">
      <c r="A61" s="114"/>
    </row>
    <row r="62" spans="1:7" s="367" customFormat="1" ht="15" customHeight="1" x14ac:dyDescent="0.2">
      <c r="A62" s="485" t="s">
        <v>1023</v>
      </c>
      <c r="B62" s="435"/>
      <c r="C62" s="435"/>
      <c r="D62" s="435"/>
      <c r="E62" s="435"/>
      <c r="F62" s="436"/>
    </row>
    <row r="63" spans="1:7" s="367" customFormat="1" ht="15" customHeight="1" x14ac:dyDescent="0.2">
      <c r="A63" s="288" t="s">
        <v>1036</v>
      </c>
      <c r="B63" s="268" t="s">
        <v>1010</v>
      </c>
      <c r="C63" s="289" t="s">
        <v>1012</v>
      </c>
      <c r="D63" s="486" t="s">
        <v>1013</v>
      </c>
      <c r="E63" s="487"/>
      <c r="F63" s="488"/>
    </row>
    <row r="64" spans="1:7" s="367" customFormat="1" ht="15" customHeight="1" x14ac:dyDescent="0.2">
      <c r="A64" s="285"/>
      <c r="B64" s="268" t="s">
        <v>1011</v>
      </c>
      <c r="C64" s="268"/>
      <c r="D64" s="486" t="s">
        <v>1014</v>
      </c>
      <c r="E64" s="487"/>
      <c r="F64" s="488"/>
    </row>
    <row r="65" spans="1:6" s="367" customFormat="1" ht="15" customHeight="1" x14ac:dyDescent="0.2">
      <c r="A65" s="285"/>
      <c r="B65" s="268" t="s">
        <v>1018</v>
      </c>
      <c r="C65" s="268"/>
      <c r="D65" s="486" t="s">
        <v>1015</v>
      </c>
      <c r="E65" s="487"/>
      <c r="F65" s="488"/>
    </row>
    <row r="66" spans="1:6" s="367" customFormat="1" ht="15" customHeight="1" x14ac:dyDescent="0.2">
      <c r="A66" s="285"/>
      <c r="B66" s="268" t="s">
        <v>1016</v>
      </c>
      <c r="C66" s="268"/>
      <c r="D66" s="489" t="s">
        <v>1240</v>
      </c>
      <c r="E66" s="489"/>
      <c r="F66" s="490"/>
    </row>
    <row r="67" spans="1:6" s="367" customFormat="1" ht="15" customHeight="1" x14ac:dyDescent="0.2">
      <c r="A67" s="288" t="s">
        <v>1036</v>
      </c>
      <c r="B67" s="268" t="s">
        <v>1017</v>
      </c>
      <c r="C67" s="268"/>
      <c r="D67" s="486" t="s">
        <v>1037</v>
      </c>
      <c r="E67" s="487"/>
      <c r="F67" s="488"/>
    </row>
    <row r="68" spans="1:6" s="367" customFormat="1" ht="15" customHeight="1" x14ac:dyDescent="0.2">
      <c r="A68" s="285"/>
      <c r="B68" s="268" t="s">
        <v>1011</v>
      </c>
      <c r="C68" s="268"/>
      <c r="D68" s="268"/>
      <c r="E68" s="268"/>
      <c r="F68" s="275"/>
    </row>
    <row r="69" spans="1:6" s="367" customFormat="1" ht="15" customHeight="1" x14ac:dyDescent="0.2">
      <c r="A69" s="285"/>
      <c r="B69" s="268" t="s">
        <v>1019</v>
      </c>
      <c r="C69" s="268"/>
      <c r="D69" s="268"/>
      <c r="E69" s="268"/>
      <c r="F69" s="275"/>
    </row>
    <row r="70" spans="1:6" s="367" customFormat="1" ht="15" customHeight="1" x14ac:dyDescent="0.2">
      <c r="A70" s="285"/>
      <c r="B70" s="268" t="s">
        <v>1020</v>
      </c>
      <c r="C70" s="268"/>
      <c r="D70" s="268"/>
      <c r="E70" s="268"/>
      <c r="F70" s="275"/>
    </row>
    <row r="71" spans="1:6" s="367" customFormat="1" ht="15" customHeight="1" x14ac:dyDescent="0.2">
      <c r="A71" s="290"/>
      <c r="B71" s="291" t="s">
        <v>1021</v>
      </c>
      <c r="C71" s="291"/>
      <c r="D71" s="291"/>
      <c r="E71" s="291"/>
      <c r="F71" s="292"/>
    </row>
    <row r="72" spans="1:6" ht="15.75" customHeight="1" x14ac:dyDescent="0.2">
      <c r="A72" s="114"/>
    </row>
    <row r="73" spans="1:6" ht="15.75" customHeight="1" x14ac:dyDescent="0.2">
      <c r="A73" s="114"/>
    </row>
    <row r="74" spans="1:6" ht="15.75" customHeight="1" x14ac:dyDescent="0.2">
      <c r="A74" s="114"/>
    </row>
    <row r="75" spans="1:6" ht="15.75" customHeight="1" x14ac:dyDescent="0.2">
      <c r="A75" s="114"/>
    </row>
    <row r="76" spans="1:6" ht="15.75" customHeight="1" x14ac:dyDescent="0.2">
      <c r="A76" s="114"/>
    </row>
    <row r="77" spans="1:6" ht="15.75" customHeight="1" x14ac:dyDescent="0.2">
      <c r="A77" s="114"/>
    </row>
    <row r="78" spans="1:6" ht="15.75" customHeight="1" x14ac:dyDescent="0.2">
      <c r="A78" s="114"/>
    </row>
    <row r="79" spans="1:6" ht="15.75" customHeight="1" x14ac:dyDescent="0.2">
      <c r="A79" s="114"/>
    </row>
    <row r="80" spans="1:6" ht="15.75" customHeight="1" x14ac:dyDescent="0.2">
      <c r="A80" s="114"/>
    </row>
    <row r="81" spans="1:1" ht="15.75" customHeight="1" x14ac:dyDescent="0.2">
      <c r="A81" s="114"/>
    </row>
    <row r="82" spans="1:1" ht="15.75" customHeight="1" x14ac:dyDescent="0.2">
      <c r="A82" s="114"/>
    </row>
    <row r="83" spans="1:1" ht="15.75" customHeight="1" x14ac:dyDescent="0.2">
      <c r="A83" s="114"/>
    </row>
    <row r="84" spans="1:1" ht="15.75" customHeight="1" x14ac:dyDescent="0.2">
      <c r="A84" s="114"/>
    </row>
    <row r="85" spans="1:1" ht="15.75" customHeight="1" x14ac:dyDescent="0.2">
      <c r="A85" s="114"/>
    </row>
    <row r="86" spans="1:1" ht="15.75" customHeight="1" x14ac:dyDescent="0.2">
      <c r="A86" s="114"/>
    </row>
    <row r="87" spans="1:1" ht="15.75" customHeight="1" x14ac:dyDescent="0.2">
      <c r="A87" s="114"/>
    </row>
    <row r="88" spans="1:1" ht="15.75" customHeight="1" x14ac:dyDescent="0.2">
      <c r="A88" s="114"/>
    </row>
    <row r="89" spans="1:1" ht="15.75" customHeight="1" x14ac:dyDescent="0.2">
      <c r="A89" s="114"/>
    </row>
    <row r="90" spans="1:1" ht="15.75" customHeight="1" x14ac:dyDescent="0.2">
      <c r="A90" s="114"/>
    </row>
    <row r="91" spans="1:1" ht="15.75" customHeight="1" x14ac:dyDescent="0.2">
      <c r="A91" s="114"/>
    </row>
    <row r="92" spans="1:1" ht="15.75" customHeight="1" x14ac:dyDescent="0.2">
      <c r="A92" s="114"/>
    </row>
    <row r="93" spans="1:1" ht="15.75" customHeight="1" x14ac:dyDescent="0.2">
      <c r="A93" s="114"/>
    </row>
    <row r="94" spans="1:1" ht="15.75" customHeight="1" x14ac:dyDescent="0.2">
      <c r="A94" s="114"/>
    </row>
    <row r="95" spans="1:1" ht="15.75" customHeight="1" x14ac:dyDescent="0.2">
      <c r="A95" s="114"/>
    </row>
    <row r="96" spans="1:1" ht="15.75" customHeight="1" x14ac:dyDescent="0.2">
      <c r="A96" s="114"/>
    </row>
    <row r="97" spans="1:1" ht="15.75" customHeight="1" x14ac:dyDescent="0.2">
      <c r="A97" s="114"/>
    </row>
    <row r="98" spans="1:1" ht="15.75" customHeight="1" x14ac:dyDescent="0.2">
      <c r="A98" s="114"/>
    </row>
    <row r="99" spans="1:1" ht="15.75" customHeight="1" x14ac:dyDescent="0.2">
      <c r="A99" s="114"/>
    </row>
    <row r="100" spans="1:1" ht="15.75" customHeight="1" x14ac:dyDescent="0.2">
      <c r="A100" s="114"/>
    </row>
    <row r="101" spans="1:1" ht="15.75" customHeight="1" x14ac:dyDescent="0.2">
      <c r="A101" s="114"/>
    </row>
    <row r="102" spans="1:1" ht="15.75" customHeight="1" x14ac:dyDescent="0.2">
      <c r="A102" s="114"/>
    </row>
    <row r="103" spans="1:1" ht="15.75" customHeight="1" x14ac:dyDescent="0.2">
      <c r="A103" s="114"/>
    </row>
    <row r="104" spans="1:1" ht="15.75" customHeight="1" x14ac:dyDescent="0.2">
      <c r="A104" s="114"/>
    </row>
    <row r="105" spans="1:1" ht="15.75" customHeight="1" x14ac:dyDescent="0.2">
      <c r="A105" s="114"/>
    </row>
    <row r="106" spans="1:1" ht="15.75" customHeight="1" x14ac:dyDescent="0.2">
      <c r="A106" s="114"/>
    </row>
    <row r="107" spans="1:1" ht="15.75" customHeight="1" x14ac:dyDescent="0.2">
      <c r="A107" s="114"/>
    </row>
    <row r="108" spans="1:1" ht="15.75" customHeight="1" x14ac:dyDescent="0.2">
      <c r="A108" s="114"/>
    </row>
    <row r="109" spans="1:1" ht="15.75" customHeight="1" x14ac:dyDescent="0.2">
      <c r="A109" s="114"/>
    </row>
    <row r="110" spans="1:1" ht="15.75" customHeight="1" x14ac:dyDescent="0.2">
      <c r="A110" s="114"/>
    </row>
    <row r="111" spans="1:1" ht="15.75" customHeight="1" x14ac:dyDescent="0.2">
      <c r="A111" s="114"/>
    </row>
    <row r="112" spans="1:1" ht="15.75" customHeight="1" x14ac:dyDescent="0.2">
      <c r="A112" s="114"/>
    </row>
    <row r="113" spans="1:1" ht="15.75" customHeight="1" x14ac:dyDescent="0.2">
      <c r="A113" s="114"/>
    </row>
    <row r="114" spans="1:1" ht="15.75" customHeight="1" x14ac:dyDescent="0.2">
      <c r="A114" s="114"/>
    </row>
    <row r="115" spans="1:1" ht="15.75" customHeight="1" x14ac:dyDescent="0.2">
      <c r="A115" s="114"/>
    </row>
    <row r="116" spans="1:1" ht="15.75" customHeight="1" x14ac:dyDescent="0.2">
      <c r="A116" s="114"/>
    </row>
    <row r="117" spans="1:1" ht="15.75" customHeight="1" x14ac:dyDescent="0.2">
      <c r="A117" s="114"/>
    </row>
    <row r="118" spans="1:1" ht="15.75" customHeight="1" x14ac:dyDescent="0.2">
      <c r="A118" s="114"/>
    </row>
    <row r="119" spans="1:1" ht="15.75" customHeight="1" x14ac:dyDescent="0.2">
      <c r="A119" s="114"/>
    </row>
    <row r="120" spans="1:1" ht="15.75" customHeight="1" x14ac:dyDescent="0.2">
      <c r="A120" s="114"/>
    </row>
    <row r="121" spans="1:1" ht="15.75" customHeight="1" x14ac:dyDescent="0.2">
      <c r="A121" s="114"/>
    </row>
    <row r="122" spans="1:1" ht="15.75" customHeight="1" x14ac:dyDescent="0.2">
      <c r="A122" s="114"/>
    </row>
    <row r="123" spans="1:1" ht="15.75" customHeight="1" x14ac:dyDescent="0.2">
      <c r="A123" s="114"/>
    </row>
    <row r="124" spans="1:1" ht="15.75" customHeight="1" x14ac:dyDescent="0.2">
      <c r="A124" s="114"/>
    </row>
    <row r="125" spans="1:1" ht="15.75" customHeight="1" x14ac:dyDescent="0.2">
      <c r="A125" s="114"/>
    </row>
    <row r="126" spans="1:1" ht="15.75" customHeight="1" x14ac:dyDescent="0.2">
      <c r="A126" s="114"/>
    </row>
    <row r="127" spans="1:1" ht="15.75" customHeight="1" x14ac:dyDescent="0.2">
      <c r="A127" s="114"/>
    </row>
    <row r="128" spans="1:1" ht="15.75" customHeight="1" x14ac:dyDescent="0.2">
      <c r="A128" s="114"/>
    </row>
    <row r="129" spans="1:1" ht="15.75" customHeight="1" x14ac:dyDescent="0.2">
      <c r="A129" s="114"/>
    </row>
    <row r="130" spans="1:1" ht="15.75" customHeight="1" x14ac:dyDescent="0.2">
      <c r="A130" s="114"/>
    </row>
    <row r="131" spans="1:1" ht="15.75" customHeight="1" x14ac:dyDescent="0.2">
      <c r="A131" s="114"/>
    </row>
    <row r="132" spans="1:1" ht="15.75" customHeight="1" x14ac:dyDescent="0.2">
      <c r="A132" s="114"/>
    </row>
    <row r="133" spans="1:1" ht="15.75" customHeight="1" x14ac:dyDescent="0.2">
      <c r="A133" s="114"/>
    </row>
    <row r="134" spans="1:1" ht="15.75" customHeight="1" x14ac:dyDescent="0.2">
      <c r="A134" s="114"/>
    </row>
    <row r="135" spans="1:1" ht="15.75" customHeight="1" x14ac:dyDescent="0.2">
      <c r="A135" s="114"/>
    </row>
    <row r="136" spans="1:1" ht="15.75" customHeight="1" x14ac:dyDescent="0.2">
      <c r="A136" s="114"/>
    </row>
    <row r="137" spans="1:1" ht="15.75" customHeight="1" x14ac:dyDescent="0.2">
      <c r="A137" s="114"/>
    </row>
    <row r="138" spans="1:1" ht="15.75" customHeight="1" x14ac:dyDescent="0.2">
      <c r="A138" s="114"/>
    </row>
    <row r="139" spans="1:1" ht="15.75" customHeight="1" x14ac:dyDescent="0.2">
      <c r="A139" s="114"/>
    </row>
    <row r="140" spans="1:1" ht="15.75" customHeight="1" x14ac:dyDescent="0.2">
      <c r="A140" s="114"/>
    </row>
    <row r="141" spans="1:1" ht="15.75" customHeight="1" x14ac:dyDescent="0.2">
      <c r="A141" s="114"/>
    </row>
    <row r="142" spans="1:1" ht="15.75" customHeight="1" x14ac:dyDescent="0.2">
      <c r="A142" s="114"/>
    </row>
    <row r="143" spans="1:1" ht="15.75" customHeight="1" x14ac:dyDescent="0.2">
      <c r="A143" s="114"/>
    </row>
    <row r="144" spans="1:1" ht="15.75" customHeight="1" x14ac:dyDescent="0.2">
      <c r="A144" s="114"/>
    </row>
    <row r="145" spans="1:1" ht="15.75" customHeight="1" x14ac:dyDescent="0.2">
      <c r="A145" s="114"/>
    </row>
    <row r="146" spans="1:1" ht="15.75" customHeight="1" x14ac:dyDescent="0.2">
      <c r="A146" s="114"/>
    </row>
    <row r="147" spans="1:1" ht="15.75" customHeight="1" x14ac:dyDescent="0.2">
      <c r="A147" s="114"/>
    </row>
    <row r="148" spans="1:1" ht="15.75" customHeight="1" x14ac:dyDescent="0.2">
      <c r="A148" s="114"/>
    </row>
    <row r="149" spans="1:1" ht="15.75" customHeight="1" x14ac:dyDescent="0.2">
      <c r="A149" s="114"/>
    </row>
    <row r="150" spans="1:1" ht="15.75" customHeight="1" x14ac:dyDescent="0.2">
      <c r="A150" s="114"/>
    </row>
    <row r="151" spans="1:1" ht="15.75" customHeight="1" x14ac:dyDescent="0.2">
      <c r="A151" s="114"/>
    </row>
    <row r="152" spans="1:1" ht="15.75" customHeight="1" x14ac:dyDescent="0.2">
      <c r="A152" s="114"/>
    </row>
    <row r="153" spans="1:1" ht="15.75" customHeight="1" x14ac:dyDescent="0.2">
      <c r="A153" s="114"/>
    </row>
    <row r="154" spans="1:1" ht="15.75" customHeight="1" x14ac:dyDescent="0.2">
      <c r="A154" s="114"/>
    </row>
    <row r="155" spans="1:1" ht="15.75" customHeight="1" x14ac:dyDescent="0.2">
      <c r="A155" s="114"/>
    </row>
    <row r="156" spans="1:1" ht="15.75" customHeight="1" x14ac:dyDescent="0.2">
      <c r="A156" s="114"/>
    </row>
    <row r="157" spans="1:1" ht="15.75" customHeight="1" x14ac:dyDescent="0.2">
      <c r="A157" s="114"/>
    </row>
    <row r="158" spans="1:1" ht="15.75" customHeight="1" x14ac:dyDescent="0.2">
      <c r="A158" s="114"/>
    </row>
    <row r="159" spans="1:1" ht="15.75" customHeight="1" x14ac:dyDescent="0.2">
      <c r="A159" s="114"/>
    </row>
    <row r="160" spans="1:1" ht="15.75" customHeight="1" x14ac:dyDescent="0.2">
      <c r="A160" s="114"/>
    </row>
    <row r="161" spans="1:1" ht="15.75" customHeight="1" x14ac:dyDescent="0.2">
      <c r="A161" s="114"/>
    </row>
    <row r="162" spans="1:1" ht="15.75" customHeight="1" x14ac:dyDescent="0.2">
      <c r="A162" s="114"/>
    </row>
    <row r="163" spans="1:1" ht="15.75" customHeight="1" x14ac:dyDescent="0.2">
      <c r="A163" s="114"/>
    </row>
    <row r="164" spans="1:1" ht="15.75" customHeight="1" x14ac:dyDescent="0.2">
      <c r="A164" s="114"/>
    </row>
    <row r="165" spans="1:1" ht="15.75" customHeight="1" x14ac:dyDescent="0.2">
      <c r="A165" s="114"/>
    </row>
    <row r="166" spans="1:1" ht="15.75" customHeight="1" x14ac:dyDescent="0.2">
      <c r="A166" s="114"/>
    </row>
    <row r="167" spans="1:1" ht="15.75" customHeight="1" x14ac:dyDescent="0.2">
      <c r="A167" s="114"/>
    </row>
    <row r="168" spans="1:1" ht="15.75" customHeight="1" x14ac:dyDescent="0.2">
      <c r="A168" s="114"/>
    </row>
    <row r="169" spans="1:1" ht="15.75" customHeight="1" x14ac:dyDescent="0.2">
      <c r="A169" s="114"/>
    </row>
    <row r="170" spans="1:1" ht="15.75" customHeight="1" x14ac:dyDescent="0.2">
      <c r="A170" s="114"/>
    </row>
    <row r="171" spans="1:1" ht="15.75" customHeight="1" x14ac:dyDescent="0.2">
      <c r="A171" s="114"/>
    </row>
    <row r="172" spans="1:1" ht="15.75" customHeight="1" x14ac:dyDescent="0.2">
      <c r="A172" s="114"/>
    </row>
    <row r="173" spans="1:1" ht="15.75" customHeight="1" x14ac:dyDescent="0.2">
      <c r="A173" s="114"/>
    </row>
    <row r="174" spans="1:1" ht="15.75" customHeight="1" x14ac:dyDescent="0.2">
      <c r="A174" s="114"/>
    </row>
    <row r="175" spans="1:1" ht="15.75" customHeight="1" x14ac:dyDescent="0.2">
      <c r="A175" s="114"/>
    </row>
    <row r="176" spans="1:1" ht="15.75" customHeight="1" x14ac:dyDescent="0.2">
      <c r="A176" s="114"/>
    </row>
    <row r="177" spans="1:1" ht="15.75" customHeight="1" x14ac:dyDescent="0.2">
      <c r="A177" s="114"/>
    </row>
    <row r="178" spans="1:1" ht="15.75" customHeight="1" x14ac:dyDescent="0.2">
      <c r="A178" s="114"/>
    </row>
    <row r="179" spans="1:1" ht="15.75" customHeight="1" x14ac:dyDescent="0.2">
      <c r="A179" s="114"/>
    </row>
    <row r="180" spans="1:1" ht="15.75" customHeight="1" x14ac:dyDescent="0.2">
      <c r="A180" s="114"/>
    </row>
    <row r="181" spans="1:1" ht="15.75" customHeight="1" x14ac:dyDescent="0.2">
      <c r="A181" s="114"/>
    </row>
    <row r="182" spans="1:1" ht="15.75" customHeight="1" x14ac:dyDescent="0.2">
      <c r="A182" s="114"/>
    </row>
    <row r="183" spans="1:1" ht="15.75" customHeight="1" x14ac:dyDescent="0.2">
      <c r="A183" s="114"/>
    </row>
    <row r="184" spans="1:1" ht="15.75" customHeight="1" x14ac:dyDescent="0.2">
      <c r="A184" s="114"/>
    </row>
    <row r="185" spans="1:1" ht="15.75" customHeight="1" x14ac:dyDescent="0.2">
      <c r="A185" s="114"/>
    </row>
    <row r="186" spans="1:1" ht="15.75" customHeight="1" x14ac:dyDescent="0.2">
      <c r="A186" s="114"/>
    </row>
    <row r="187" spans="1:1" ht="15.75" customHeight="1" x14ac:dyDescent="0.2">
      <c r="A187" s="114"/>
    </row>
    <row r="188" spans="1:1" ht="15.75" customHeight="1" x14ac:dyDescent="0.2">
      <c r="A188" s="114"/>
    </row>
    <row r="189" spans="1:1" ht="15.75" customHeight="1" x14ac:dyDescent="0.2">
      <c r="A189" s="114"/>
    </row>
    <row r="190" spans="1:1" ht="15.75" customHeight="1" x14ac:dyDescent="0.2">
      <c r="A190" s="114"/>
    </row>
    <row r="191" spans="1:1" ht="15.75" customHeight="1" x14ac:dyDescent="0.2">
      <c r="A191" s="114"/>
    </row>
    <row r="192" spans="1:1" ht="15.75" customHeight="1" x14ac:dyDescent="0.2">
      <c r="A192" s="114"/>
    </row>
    <row r="193" spans="1:1" ht="15.75" customHeight="1" x14ac:dyDescent="0.2">
      <c r="A193" s="114"/>
    </row>
    <row r="194" spans="1:1" ht="15.75" customHeight="1" x14ac:dyDescent="0.2">
      <c r="A194" s="114"/>
    </row>
    <row r="195" spans="1:1" ht="15.75" customHeight="1" x14ac:dyDescent="0.2">
      <c r="A195" s="114"/>
    </row>
    <row r="196" spans="1:1" ht="15.75" customHeight="1" x14ac:dyDescent="0.2">
      <c r="A196" s="114"/>
    </row>
    <row r="197" spans="1:1" ht="15.75" customHeight="1" x14ac:dyDescent="0.2">
      <c r="A197" s="114"/>
    </row>
    <row r="198" spans="1:1" ht="15.75" customHeight="1" x14ac:dyDescent="0.2">
      <c r="A198" s="114"/>
    </row>
    <row r="199" spans="1:1" ht="15.75" customHeight="1" x14ac:dyDescent="0.2">
      <c r="A199" s="114"/>
    </row>
    <row r="200" spans="1:1" ht="15.75" customHeight="1" x14ac:dyDescent="0.2">
      <c r="A200" s="114"/>
    </row>
    <row r="201" spans="1:1" ht="15.75" customHeight="1" x14ac:dyDescent="0.2">
      <c r="A201" s="114"/>
    </row>
    <row r="202" spans="1:1" ht="15.75" customHeight="1" x14ac:dyDescent="0.2">
      <c r="A202" s="114"/>
    </row>
    <row r="203" spans="1:1" ht="15.75" customHeight="1" x14ac:dyDescent="0.2">
      <c r="A203" s="114"/>
    </row>
    <row r="204" spans="1:1" ht="15.75" customHeight="1" x14ac:dyDescent="0.2">
      <c r="A204" s="114"/>
    </row>
    <row r="205" spans="1:1" ht="15.75" customHeight="1" x14ac:dyDescent="0.2">
      <c r="A205" s="114"/>
    </row>
    <row r="206" spans="1:1" ht="15.75" customHeight="1" x14ac:dyDescent="0.2">
      <c r="A206" s="114"/>
    </row>
    <row r="207" spans="1:1" ht="15.75" customHeight="1" x14ac:dyDescent="0.2">
      <c r="A207" s="114"/>
    </row>
    <row r="208" spans="1:1" ht="15.75" customHeight="1" x14ac:dyDescent="0.2">
      <c r="A208" s="114"/>
    </row>
    <row r="209" spans="1:1" ht="15.75" customHeight="1" x14ac:dyDescent="0.2">
      <c r="A209" s="114"/>
    </row>
    <row r="210" spans="1:1" ht="15.75" customHeight="1" x14ac:dyDescent="0.2">
      <c r="A210" s="114"/>
    </row>
    <row r="211" spans="1:1" ht="15.75" customHeight="1" x14ac:dyDescent="0.2">
      <c r="A211" s="114"/>
    </row>
    <row r="212" spans="1:1" ht="15.75" customHeight="1" x14ac:dyDescent="0.2">
      <c r="A212" s="114"/>
    </row>
    <row r="213" spans="1:1" ht="15.75" customHeight="1" x14ac:dyDescent="0.2">
      <c r="A213" s="114"/>
    </row>
    <row r="214" spans="1:1" ht="15.75" customHeight="1" x14ac:dyDescent="0.2">
      <c r="A214" s="114"/>
    </row>
    <row r="215" spans="1:1" ht="15.75" customHeight="1" x14ac:dyDescent="0.2">
      <c r="A215" s="114"/>
    </row>
    <row r="216" spans="1:1" ht="15.75" customHeight="1" x14ac:dyDescent="0.2">
      <c r="A216" s="114"/>
    </row>
    <row r="217" spans="1:1" ht="15.75" customHeight="1" x14ac:dyDescent="0.2">
      <c r="A217" s="114"/>
    </row>
    <row r="218" spans="1:1" ht="15.75" customHeight="1" x14ac:dyDescent="0.2">
      <c r="A218" s="114"/>
    </row>
    <row r="219" spans="1:1" ht="15.75" customHeight="1" x14ac:dyDescent="0.2">
      <c r="A219" s="114"/>
    </row>
    <row r="220" spans="1:1" ht="15.75" customHeight="1" x14ac:dyDescent="0.2">
      <c r="A220" s="114"/>
    </row>
    <row r="221" spans="1:1" ht="15.75" customHeight="1" x14ac:dyDescent="0.2">
      <c r="A221" s="114"/>
    </row>
    <row r="222" spans="1:1" ht="15.75" customHeight="1" x14ac:dyDescent="0.2">
      <c r="A222" s="114"/>
    </row>
    <row r="223" spans="1:1" ht="15.75" customHeight="1" x14ac:dyDescent="0.2">
      <c r="A223" s="114"/>
    </row>
    <row r="224" spans="1:1" ht="15.75" customHeight="1" x14ac:dyDescent="0.2">
      <c r="A224" s="114"/>
    </row>
    <row r="225" spans="1:1" ht="15.75" customHeight="1" x14ac:dyDescent="0.2">
      <c r="A225" s="114"/>
    </row>
    <row r="226" spans="1:1" ht="15.75" customHeight="1" x14ac:dyDescent="0.2">
      <c r="A226" s="114"/>
    </row>
    <row r="227" spans="1:1" ht="15.75" customHeight="1" x14ac:dyDescent="0.2">
      <c r="A227" s="114"/>
    </row>
    <row r="228" spans="1:1" ht="15.75" customHeight="1" x14ac:dyDescent="0.2">
      <c r="A228" s="114"/>
    </row>
    <row r="229" spans="1:1" ht="15.75" customHeight="1" x14ac:dyDescent="0.2">
      <c r="A229" s="114"/>
    </row>
    <row r="230" spans="1:1" ht="15.75" customHeight="1" x14ac:dyDescent="0.2">
      <c r="A230" s="114"/>
    </row>
    <row r="231" spans="1:1" ht="15.75" customHeight="1" x14ac:dyDescent="0.2">
      <c r="A231" s="114"/>
    </row>
    <row r="232" spans="1:1" ht="15.75" customHeight="1" x14ac:dyDescent="0.2">
      <c r="A232" s="114"/>
    </row>
    <row r="233" spans="1:1" ht="15.75" customHeight="1" x14ac:dyDescent="0.2">
      <c r="A233" s="114"/>
    </row>
    <row r="234" spans="1:1" ht="15.75" customHeight="1" x14ac:dyDescent="0.2">
      <c r="A234" s="114"/>
    </row>
    <row r="235" spans="1:1" ht="15.75" customHeight="1" x14ac:dyDescent="0.2">
      <c r="A235" s="114"/>
    </row>
    <row r="236" spans="1:1" ht="15.75" customHeight="1" x14ac:dyDescent="0.2">
      <c r="A236" s="114"/>
    </row>
    <row r="237" spans="1:1" ht="15.75" customHeight="1" x14ac:dyDescent="0.2">
      <c r="A237" s="114"/>
    </row>
    <row r="238" spans="1:1" ht="15.75" customHeight="1" x14ac:dyDescent="0.2">
      <c r="A238" s="114"/>
    </row>
    <row r="239" spans="1:1" ht="15.75" customHeight="1" x14ac:dyDescent="0.2">
      <c r="A239" s="114"/>
    </row>
    <row r="240" spans="1:1" ht="15.75" customHeight="1" x14ac:dyDescent="0.2">
      <c r="A240" s="114"/>
    </row>
    <row r="241" spans="1:1" ht="15.75" customHeight="1" x14ac:dyDescent="0.2">
      <c r="A241" s="114"/>
    </row>
    <row r="242" spans="1:1" ht="15.75" customHeight="1" x14ac:dyDescent="0.2">
      <c r="A242" s="114"/>
    </row>
    <row r="243" spans="1:1" ht="15.75" customHeight="1" x14ac:dyDescent="0.2">
      <c r="A243" s="114"/>
    </row>
    <row r="244" spans="1:1" ht="15.75" customHeight="1" x14ac:dyDescent="0.2">
      <c r="A244" s="114"/>
    </row>
    <row r="245" spans="1:1" ht="15.75" customHeight="1" x14ac:dyDescent="0.2">
      <c r="A245" s="114"/>
    </row>
    <row r="246" spans="1:1" ht="15.75" customHeight="1" x14ac:dyDescent="0.2">
      <c r="A246" s="114"/>
    </row>
    <row r="247" spans="1:1" ht="15.75" customHeight="1" x14ac:dyDescent="0.2">
      <c r="A247" s="114"/>
    </row>
    <row r="248" spans="1:1" ht="15.75" customHeight="1" x14ac:dyDescent="0.2">
      <c r="A248" s="114"/>
    </row>
    <row r="249" spans="1:1" ht="15.75" customHeight="1" x14ac:dyDescent="0.2">
      <c r="A249" s="114"/>
    </row>
    <row r="250" spans="1:1" ht="15.75" customHeight="1" x14ac:dyDescent="0.2">
      <c r="A250" s="114"/>
    </row>
    <row r="251" spans="1:1" ht="15.75" customHeight="1" x14ac:dyDescent="0.2">
      <c r="A251" s="114"/>
    </row>
    <row r="252" spans="1:1" ht="15.75" customHeight="1" x14ac:dyDescent="0.2">
      <c r="A252" s="114"/>
    </row>
    <row r="253" spans="1:1" ht="15.75" customHeight="1" x14ac:dyDescent="0.2">
      <c r="A253" s="114"/>
    </row>
    <row r="254" spans="1:1" ht="15.75" customHeight="1" x14ac:dyDescent="0.2">
      <c r="A254" s="114"/>
    </row>
    <row r="255" spans="1:1" ht="15.75" customHeight="1" x14ac:dyDescent="0.2">
      <c r="A255" s="114"/>
    </row>
    <row r="256" spans="1:1" ht="15.75" customHeight="1" x14ac:dyDescent="0.2">
      <c r="A256" s="114"/>
    </row>
    <row r="257" spans="1:1" ht="15.75" customHeight="1" x14ac:dyDescent="0.2">
      <c r="A257" s="114"/>
    </row>
    <row r="258" spans="1:1" ht="15.75" customHeight="1" x14ac:dyDescent="0.2">
      <c r="A258" s="114"/>
    </row>
    <row r="259" spans="1:1" ht="15.75" customHeight="1" x14ac:dyDescent="0.2">
      <c r="A259" s="114"/>
    </row>
    <row r="260" spans="1:1" ht="15.75" customHeight="1" x14ac:dyDescent="0.2">
      <c r="A260" s="114"/>
    </row>
    <row r="261" spans="1:1" ht="15.75" customHeight="1" x14ac:dyDescent="0.2">
      <c r="A261" s="114"/>
    </row>
    <row r="262" spans="1:1" ht="15.75" customHeight="1" x14ac:dyDescent="0.2">
      <c r="A262" s="114"/>
    </row>
    <row r="263" spans="1:1" ht="15.75" customHeight="1" x14ac:dyDescent="0.2">
      <c r="A263" s="114"/>
    </row>
    <row r="264" spans="1:1" ht="15.75" customHeight="1" x14ac:dyDescent="0.2">
      <c r="A264" s="114"/>
    </row>
    <row r="265" spans="1:1" ht="15.75" customHeight="1" x14ac:dyDescent="0.2">
      <c r="A265" s="114"/>
    </row>
    <row r="266" spans="1:1" ht="15.75" customHeight="1" x14ac:dyDescent="0.2">
      <c r="A266" s="114"/>
    </row>
    <row r="267" spans="1:1" ht="15.75" customHeight="1" x14ac:dyDescent="0.2">
      <c r="A267" s="114"/>
    </row>
    <row r="268" spans="1:1" ht="15.75" customHeight="1" x14ac:dyDescent="0.2">
      <c r="A268" s="114"/>
    </row>
    <row r="269" spans="1:1" ht="15.75" customHeight="1" x14ac:dyDescent="0.2">
      <c r="A269" s="114"/>
    </row>
    <row r="270" spans="1:1" ht="15.75" customHeight="1" x14ac:dyDescent="0.2">
      <c r="A270" s="114"/>
    </row>
    <row r="271" spans="1:1" ht="15.75" customHeight="1" x14ac:dyDescent="0.2">
      <c r="A271" s="114"/>
    </row>
    <row r="272" spans="1:1" ht="15.75" customHeight="1" x14ac:dyDescent="0.2">
      <c r="A272" s="114"/>
    </row>
    <row r="273" spans="1:1" ht="15.75" customHeight="1" x14ac:dyDescent="0.2">
      <c r="A273" s="114"/>
    </row>
    <row r="274" spans="1:1" ht="15.75" customHeight="1" x14ac:dyDescent="0.2">
      <c r="A274" s="114"/>
    </row>
    <row r="275" spans="1:1" ht="15.75" customHeight="1" x14ac:dyDescent="0.2">
      <c r="A275" s="114"/>
    </row>
    <row r="276" spans="1:1" ht="15.75" customHeight="1" x14ac:dyDescent="0.2">
      <c r="A276" s="114"/>
    </row>
    <row r="277" spans="1:1" ht="15.75" customHeight="1" x14ac:dyDescent="0.2">
      <c r="A277" s="114"/>
    </row>
    <row r="278" spans="1:1" ht="15.75" customHeight="1" x14ac:dyDescent="0.2">
      <c r="A278" s="114"/>
    </row>
    <row r="279" spans="1:1" ht="15.75" customHeight="1" x14ac:dyDescent="0.2">
      <c r="A279" s="114"/>
    </row>
    <row r="280" spans="1:1" ht="15.75" customHeight="1" x14ac:dyDescent="0.2">
      <c r="A280" s="114"/>
    </row>
    <row r="281" spans="1:1" ht="15.75" customHeight="1" x14ac:dyDescent="0.2">
      <c r="A281" s="114"/>
    </row>
    <row r="282" spans="1:1" ht="15.75" customHeight="1" x14ac:dyDescent="0.2">
      <c r="A282" s="114"/>
    </row>
    <row r="283" spans="1:1" ht="15.75" customHeight="1" x14ac:dyDescent="0.2">
      <c r="A283" s="114"/>
    </row>
    <row r="284" spans="1:1" ht="15.75" customHeight="1" x14ac:dyDescent="0.2">
      <c r="A284" s="114"/>
    </row>
    <row r="285" spans="1:1" ht="15.75" customHeight="1" x14ac:dyDescent="0.2">
      <c r="A285" s="114"/>
    </row>
    <row r="286" spans="1:1" ht="15.75" customHeight="1" x14ac:dyDescent="0.2">
      <c r="A286" s="114"/>
    </row>
    <row r="287" spans="1:1" ht="15.75" customHeight="1" x14ac:dyDescent="0.2">
      <c r="A287" s="114"/>
    </row>
    <row r="288" spans="1:1" ht="15.75" customHeight="1" x14ac:dyDescent="0.2">
      <c r="A288" s="114"/>
    </row>
    <row r="289" spans="1:1" ht="15.75" customHeight="1" x14ac:dyDescent="0.2">
      <c r="A289" s="114"/>
    </row>
    <row r="290" spans="1:1" ht="15.75" customHeight="1" x14ac:dyDescent="0.2">
      <c r="A290" s="114"/>
    </row>
    <row r="291" spans="1:1" ht="15.75" customHeight="1" x14ac:dyDescent="0.2">
      <c r="A291" s="114"/>
    </row>
    <row r="292" spans="1:1" ht="15.75" customHeight="1" x14ac:dyDescent="0.2">
      <c r="A292" s="114"/>
    </row>
    <row r="293" spans="1:1" ht="15.75" customHeight="1" x14ac:dyDescent="0.2">
      <c r="A293" s="114"/>
    </row>
    <row r="294" spans="1:1" ht="15.75" customHeight="1" x14ac:dyDescent="0.2">
      <c r="A294" s="114"/>
    </row>
    <row r="295" spans="1:1" ht="15.75" customHeight="1" x14ac:dyDescent="0.2">
      <c r="A295" s="114"/>
    </row>
    <row r="296" spans="1:1" ht="15.75" customHeight="1" x14ac:dyDescent="0.2">
      <c r="A296" s="114"/>
    </row>
    <row r="297" spans="1:1" ht="15.75" customHeight="1" x14ac:dyDescent="0.2">
      <c r="A297" s="114"/>
    </row>
    <row r="298" spans="1:1" ht="15.75" customHeight="1" x14ac:dyDescent="0.2">
      <c r="A298" s="114"/>
    </row>
    <row r="299" spans="1:1" ht="15.75" customHeight="1" x14ac:dyDescent="0.2">
      <c r="A299" s="114"/>
    </row>
    <row r="300" spans="1:1" ht="15.75" customHeight="1" x14ac:dyDescent="0.2">
      <c r="A300" s="114"/>
    </row>
    <row r="301" spans="1:1" ht="15.75" customHeight="1" x14ac:dyDescent="0.2">
      <c r="A301" s="114"/>
    </row>
    <row r="302" spans="1:1" ht="15.75" customHeight="1" x14ac:dyDescent="0.2">
      <c r="A302" s="114"/>
    </row>
    <row r="303" spans="1:1" ht="15.75" customHeight="1" x14ac:dyDescent="0.2">
      <c r="A303" s="114"/>
    </row>
    <row r="304" spans="1:1" ht="15.75" customHeight="1" x14ac:dyDescent="0.2">
      <c r="A304" s="114"/>
    </row>
    <row r="305" spans="1:1" ht="15.75" customHeight="1" x14ac:dyDescent="0.2">
      <c r="A305" s="114"/>
    </row>
    <row r="306" spans="1:1" ht="15.75" customHeight="1" x14ac:dyDescent="0.2">
      <c r="A306" s="114"/>
    </row>
    <row r="307" spans="1:1" ht="15.75" customHeight="1" x14ac:dyDescent="0.2">
      <c r="A307" s="114"/>
    </row>
    <row r="308" spans="1:1" ht="15.75" customHeight="1" x14ac:dyDescent="0.2">
      <c r="A308" s="114"/>
    </row>
    <row r="309" spans="1:1" ht="15.75" customHeight="1" x14ac:dyDescent="0.2">
      <c r="A309" s="114"/>
    </row>
    <row r="310" spans="1:1" ht="15.75" customHeight="1" x14ac:dyDescent="0.2">
      <c r="A310" s="114"/>
    </row>
    <row r="311" spans="1:1" ht="15.75" customHeight="1" x14ac:dyDescent="0.2">
      <c r="A311" s="114"/>
    </row>
    <row r="312" spans="1:1" ht="15.75" customHeight="1" x14ac:dyDescent="0.2">
      <c r="A312" s="114"/>
    </row>
    <row r="313" spans="1:1" ht="15.75" customHeight="1" x14ac:dyDescent="0.2">
      <c r="A313" s="114"/>
    </row>
    <row r="314" spans="1:1" ht="15.75" customHeight="1" x14ac:dyDescent="0.2">
      <c r="A314" s="114"/>
    </row>
    <row r="315" spans="1:1" ht="15.75" customHeight="1" x14ac:dyDescent="0.2">
      <c r="A315" s="114"/>
    </row>
    <row r="316" spans="1:1" ht="15.75" customHeight="1" x14ac:dyDescent="0.2">
      <c r="A316" s="114"/>
    </row>
    <row r="317" spans="1:1" ht="15.75" customHeight="1" x14ac:dyDescent="0.2">
      <c r="A317" s="114"/>
    </row>
    <row r="318" spans="1:1" ht="15.75" customHeight="1" x14ac:dyDescent="0.2">
      <c r="A318" s="114"/>
    </row>
    <row r="319" spans="1:1" ht="15.75" customHeight="1" x14ac:dyDescent="0.2">
      <c r="A319" s="114"/>
    </row>
    <row r="320" spans="1:1" ht="15.75" customHeight="1" x14ac:dyDescent="0.2">
      <c r="A320" s="114"/>
    </row>
    <row r="321" spans="1:1" ht="15.75" customHeight="1" x14ac:dyDescent="0.2">
      <c r="A321" s="114"/>
    </row>
    <row r="322" spans="1:1" ht="15.75" customHeight="1" x14ac:dyDescent="0.2">
      <c r="A322" s="114"/>
    </row>
    <row r="323" spans="1:1" ht="15.75" customHeight="1" x14ac:dyDescent="0.2">
      <c r="A323" s="114"/>
    </row>
    <row r="324" spans="1:1" ht="15.75" customHeight="1" x14ac:dyDescent="0.2">
      <c r="A324" s="114"/>
    </row>
    <row r="325" spans="1:1" ht="15.75" customHeight="1" x14ac:dyDescent="0.2">
      <c r="A325" s="114"/>
    </row>
    <row r="326" spans="1:1" ht="15.75" customHeight="1" x14ac:dyDescent="0.2">
      <c r="A326" s="114"/>
    </row>
    <row r="327" spans="1:1" ht="15.75" customHeight="1" x14ac:dyDescent="0.2">
      <c r="A327" s="114"/>
    </row>
    <row r="328" spans="1:1" ht="15.75" customHeight="1" x14ac:dyDescent="0.2">
      <c r="A328" s="114"/>
    </row>
    <row r="329" spans="1:1" ht="15.75" customHeight="1" x14ac:dyDescent="0.2">
      <c r="A329" s="114"/>
    </row>
    <row r="330" spans="1:1" ht="15.75" customHeight="1" x14ac:dyDescent="0.2">
      <c r="A330" s="114"/>
    </row>
    <row r="331" spans="1:1" ht="15.75" customHeight="1" x14ac:dyDescent="0.2">
      <c r="A331" s="114"/>
    </row>
    <row r="332" spans="1:1" ht="15.75" customHeight="1" x14ac:dyDescent="0.2">
      <c r="A332" s="114"/>
    </row>
    <row r="333" spans="1:1" ht="15.75" customHeight="1" x14ac:dyDescent="0.2">
      <c r="A333" s="114"/>
    </row>
    <row r="334" spans="1:1" ht="15.75" customHeight="1" x14ac:dyDescent="0.2">
      <c r="A334" s="114"/>
    </row>
    <row r="335" spans="1:1" ht="15.75" customHeight="1" x14ac:dyDescent="0.2">
      <c r="A335" s="114"/>
    </row>
    <row r="336" spans="1:1" ht="15.75" customHeight="1" x14ac:dyDescent="0.2">
      <c r="A336" s="114"/>
    </row>
    <row r="337" spans="1:1" ht="15.75" customHeight="1" x14ac:dyDescent="0.2">
      <c r="A337" s="114"/>
    </row>
    <row r="338" spans="1:1" ht="15.75" customHeight="1" x14ac:dyDescent="0.2">
      <c r="A338" s="114"/>
    </row>
    <row r="339" spans="1:1" ht="15.75" customHeight="1" x14ac:dyDescent="0.2">
      <c r="A339" s="114"/>
    </row>
    <row r="340" spans="1:1" ht="15.75" customHeight="1" x14ac:dyDescent="0.2">
      <c r="A340" s="114"/>
    </row>
    <row r="341" spans="1:1" ht="15.75" customHeight="1" x14ac:dyDescent="0.2">
      <c r="A341" s="114"/>
    </row>
    <row r="342" spans="1:1" ht="15.75" customHeight="1" x14ac:dyDescent="0.2">
      <c r="A342" s="114"/>
    </row>
    <row r="343" spans="1:1" ht="15.75" customHeight="1" x14ac:dyDescent="0.2">
      <c r="A343" s="114"/>
    </row>
    <row r="344" spans="1:1" ht="15.75" customHeight="1" x14ac:dyDescent="0.2">
      <c r="A344" s="114"/>
    </row>
    <row r="345" spans="1:1" ht="15.75" customHeight="1" x14ac:dyDescent="0.2">
      <c r="A345" s="114"/>
    </row>
    <row r="346" spans="1:1" ht="15.75" customHeight="1" x14ac:dyDescent="0.2">
      <c r="A346" s="114"/>
    </row>
    <row r="347" spans="1:1" ht="15.75" customHeight="1" x14ac:dyDescent="0.2">
      <c r="A347" s="114"/>
    </row>
    <row r="348" spans="1:1" ht="15.75" customHeight="1" x14ac:dyDescent="0.2">
      <c r="A348" s="114"/>
    </row>
    <row r="349" spans="1:1" ht="15.75" customHeight="1" x14ac:dyDescent="0.2">
      <c r="A349" s="114"/>
    </row>
    <row r="350" spans="1:1" ht="15.75" customHeight="1" x14ac:dyDescent="0.2">
      <c r="A350" s="114"/>
    </row>
    <row r="351" spans="1:1" ht="15.75" customHeight="1" x14ac:dyDescent="0.2">
      <c r="A351" s="114"/>
    </row>
    <row r="352" spans="1:1" ht="15.75" customHeight="1" x14ac:dyDescent="0.2">
      <c r="A352" s="114"/>
    </row>
    <row r="353" spans="1:1" ht="15.75" customHeight="1" x14ac:dyDescent="0.2">
      <c r="A353" s="114"/>
    </row>
    <row r="354" spans="1:1" ht="15.75" customHeight="1" x14ac:dyDescent="0.2">
      <c r="A354" s="114"/>
    </row>
    <row r="355" spans="1:1" ht="15.75" customHeight="1" x14ac:dyDescent="0.2">
      <c r="A355" s="114"/>
    </row>
    <row r="356" spans="1:1" ht="15.75" customHeight="1" x14ac:dyDescent="0.2">
      <c r="A356" s="114"/>
    </row>
    <row r="357" spans="1:1" ht="15.75" customHeight="1" x14ac:dyDescent="0.2">
      <c r="A357" s="114"/>
    </row>
    <row r="358" spans="1:1" ht="15.75" customHeight="1" x14ac:dyDescent="0.2">
      <c r="A358" s="114"/>
    </row>
    <row r="359" spans="1:1" ht="15.75" customHeight="1" x14ac:dyDescent="0.2">
      <c r="A359" s="114"/>
    </row>
    <row r="360" spans="1:1" ht="15.75" customHeight="1" x14ac:dyDescent="0.2">
      <c r="A360" s="114"/>
    </row>
    <row r="361" spans="1:1" ht="15.75" customHeight="1" x14ac:dyDescent="0.2">
      <c r="A361" s="114"/>
    </row>
    <row r="362" spans="1:1" ht="15.75" customHeight="1" x14ac:dyDescent="0.2">
      <c r="A362" s="114"/>
    </row>
    <row r="363" spans="1:1" ht="15.75" customHeight="1" x14ac:dyDescent="0.2">
      <c r="A363" s="114"/>
    </row>
    <row r="364" spans="1:1" ht="15.75" customHeight="1" x14ac:dyDescent="0.2">
      <c r="A364" s="114"/>
    </row>
    <row r="365" spans="1:1" ht="15.75" customHeight="1" x14ac:dyDescent="0.2">
      <c r="A365" s="114"/>
    </row>
    <row r="366" spans="1:1" ht="15.75" customHeight="1" x14ac:dyDescent="0.2">
      <c r="A366" s="114"/>
    </row>
    <row r="367" spans="1:1" ht="15.75" customHeight="1" x14ac:dyDescent="0.2">
      <c r="A367" s="114"/>
    </row>
    <row r="368" spans="1:1" ht="15.75" customHeight="1" x14ac:dyDescent="0.2">
      <c r="A368" s="114"/>
    </row>
    <row r="369" spans="1:1" ht="15.75" customHeight="1" x14ac:dyDescent="0.2">
      <c r="A369" s="114"/>
    </row>
    <row r="370" spans="1:1" ht="15.75" customHeight="1" x14ac:dyDescent="0.2">
      <c r="A370" s="114"/>
    </row>
    <row r="371" spans="1:1" ht="15.75" customHeight="1" x14ac:dyDescent="0.2">
      <c r="A371" s="114"/>
    </row>
    <row r="372" spans="1:1" ht="15.75" customHeight="1" x14ac:dyDescent="0.2">
      <c r="A372" s="114"/>
    </row>
    <row r="373" spans="1:1" ht="15.75" customHeight="1" x14ac:dyDescent="0.2">
      <c r="A373" s="114"/>
    </row>
    <row r="374" spans="1:1" ht="15.75" customHeight="1" x14ac:dyDescent="0.2">
      <c r="A374" s="114"/>
    </row>
    <row r="375" spans="1:1" ht="15.75" customHeight="1" x14ac:dyDescent="0.2">
      <c r="A375" s="114"/>
    </row>
    <row r="376" spans="1:1" ht="15.75" customHeight="1" x14ac:dyDescent="0.2">
      <c r="A376" s="114"/>
    </row>
    <row r="377" spans="1:1" ht="15.75" customHeight="1" x14ac:dyDescent="0.2">
      <c r="A377" s="114"/>
    </row>
    <row r="378" spans="1:1" ht="15.75" customHeight="1" x14ac:dyDescent="0.2">
      <c r="A378" s="114"/>
    </row>
    <row r="379" spans="1:1" ht="15.75" customHeight="1" x14ac:dyDescent="0.2">
      <c r="A379" s="114"/>
    </row>
    <row r="380" spans="1:1" ht="15.75" customHeight="1" x14ac:dyDescent="0.2">
      <c r="A380" s="114"/>
    </row>
    <row r="381" spans="1:1" ht="15.75" customHeight="1" x14ac:dyDescent="0.2">
      <c r="A381" s="114"/>
    </row>
    <row r="382" spans="1:1" ht="15.75" customHeight="1" x14ac:dyDescent="0.2">
      <c r="A382" s="114"/>
    </row>
    <row r="383" spans="1:1" ht="15.75" customHeight="1" x14ac:dyDescent="0.2">
      <c r="A383" s="114"/>
    </row>
    <row r="384" spans="1:1" ht="15.75" customHeight="1" x14ac:dyDescent="0.2">
      <c r="A384" s="114"/>
    </row>
    <row r="385" spans="1:1" ht="15.75" customHeight="1" x14ac:dyDescent="0.2">
      <c r="A385" s="114"/>
    </row>
    <row r="386" spans="1:1" ht="15.75" customHeight="1" x14ac:dyDescent="0.2">
      <c r="A386" s="114"/>
    </row>
    <row r="387" spans="1:1" ht="15.75" customHeight="1" x14ac:dyDescent="0.2">
      <c r="A387" s="114"/>
    </row>
    <row r="388" spans="1:1" ht="15.75" customHeight="1" x14ac:dyDescent="0.2">
      <c r="A388" s="114"/>
    </row>
    <row r="389" spans="1:1" ht="15.75" customHeight="1" x14ac:dyDescent="0.2">
      <c r="A389" s="114"/>
    </row>
    <row r="390" spans="1:1" ht="15.75" customHeight="1" x14ac:dyDescent="0.2">
      <c r="A390" s="114"/>
    </row>
    <row r="391" spans="1:1" ht="15.75" customHeight="1" x14ac:dyDescent="0.2">
      <c r="A391" s="114"/>
    </row>
    <row r="392" spans="1:1" ht="15.75" customHeight="1" x14ac:dyDescent="0.2">
      <c r="A392" s="114"/>
    </row>
    <row r="393" spans="1:1" ht="15.75" customHeight="1" x14ac:dyDescent="0.2">
      <c r="A393" s="114"/>
    </row>
    <row r="394" spans="1:1" ht="15.75" customHeight="1" x14ac:dyDescent="0.2">
      <c r="A394" s="114"/>
    </row>
    <row r="395" spans="1:1" ht="15.75" customHeight="1" x14ac:dyDescent="0.2">
      <c r="A395" s="114"/>
    </row>
    <row r="396" spans="1:1" ht="15.75" customHeight="1" x14ac:dyDescent="0.2">
      <c r="A396" s="114"/>
    </row>
    <row r="397" spans="1:1" ht="15.75" customHeight="1" x14ac:dyDescent="0.2">
      <c r="A397" s="114"/>
    </row>
    <row r="398" spans="1:1" ht="15.75" customHeight="1" x14ac:dyDescent="0.2">
      <c r="A398" s="114"/>
    </row>
    <row r="399" spans="1:1" ht="15.75" customHeight="1" x14ac:dyDescent="0.2">
      <c r="A399" s="114"/>
    </row>
    <row r="400" spans="1:1" ht="15.75" customHeight="1" x14ac:dyDescent="0.2">
      <c r="A400" s="114"/>
    </row>
    <row r="401" spans="1:1" ht="15.75" customHeight="1" x14ac:dyDescent="0.2">
      <c r="A401" s="114"/>
    </row>
    <row r="402" spans="1:1" ht="15.75" customHeight="1" x14ac:dyDescent="0.2">
      <c r="A402" s="114"/>
    </row>
    <row r="403" spans="1:1" ht="15.75" customHeight="1" x14ac:dyDescent="0.2">
      <c r="A403" s="114"/>
    </row>
    <row r="404" spans="1:1" ht="15.75" customHeight="1" x14ac:dyDescent="0.2">
      <c r="A404" s="114"/>
    </row>
    <row r="405" spans="1:1" ht="15.75" customHeight="1" x14ac:dyDescent="0.2">
      <c r="A405" s="114"/>
    </row>
    <row r="406" spans="1:1" ht="15.75" customHeight="1" x14ac:dyDescent="0.2">
      <c r="A406" s="114"/>
    </row>
    <row r="407" spans="1:1" ht="15.75" customHeight="1" x14ac:dyDescent="0.2">
      <c r="A407" s="114"/>
    </row>
    <row r="408" spans="1:1" ht="15.75" customHeight="1" x14ac:dyDescent="0.2">
      <c r="A408" s="114"/>
    </row>
    <row r="409" spans="1:1" ht="15.75" customHeight="1" x14ac:dyDescent="0.2">
      <c r="A409" s="114"/>
    </row>
    <row r="410" spans="1:1" ht="15.75" customHeight="1" x14ac:dyDescent="0.2">
      <c r="A410" s="114"/>
    </row>
    <row r="411" spans="1:1" ht="15.75" customHeight="1" x14ac:dyDescent="0.2">
      <c r="A411" s="114"/>
    </row>
    <row r="412" spans="1:1" ht="15.75" customHeight="1" x14ac:dyDescent="0.2">
      <c r="A412" s="114"/>
    </row>
    <row r="413" spans="1:1" ht="15.75" customHeight="1" x14ac:dyDescent="0.2">
      <c r="A413" s="114"/>
    </row>
    <row r="414" spans="1:1" ht="15.75" customHeight="1" x14ac:dyDescent="0.2">
      <c r="A414" s="114"/>
    </row>
    <row r="415" spans="1:1" ht="15.75" customHeight="1" x14ac:dyDescent="0.2">
      <c r="A415" s="114"/>
    </row>
    <row r="416" spans="1:1" ht="15.75" customHeight="1" x14ac:dyDescent="0.2">
      <c r="A416" s="114"/>
    </row>
    <row r="417" spans="1:1" ht="15.75" customHeight="1" x14ac:dyDescent="0.2">
      <c r="A417" s="114"/>
    </row>
    <row r="418" spans="1:1" ht="15.75" customHeight="1" x14ac:dyDescent="0.2">
      <c r="A418" s="114"/>
    </row>
    <row r="419" spans="1:1" ht="15.75" customHeight="1" x14ac:dyDescent="0.2">
      <c r="A419" s="114"/>
    </row>
    <row r="420" spans="1:1" ht="15.75" customHeight="1" x14ac:dyDescent="0.2">
      <c r="A420" s="114"/>
    </row>
    <row r="421" spans="1:1" ht="15.75" customHeight="1" x14ac:dyDescent="0.2">
      <c r="A421" s="114"/>
    </row>
    <row r="422" spans="1:1" ht="15.75" customHeight="1" x14ac:dyDescent="0.2">
      <c r="A422" s="114"/>
    </row>
    <row r="423" spans="1:1" ht="15.75" customHeight="1" x14ac:dyDescent="0.2">
      <c r="A423" s="114"/>
    </row>
    <row r="424" spans="1:1" ht="15.75" customHeight="1" x14ac:dyDescent="0.2">
      <c r="A424" s="114"/>
    </row>
    <row r="425" spans="1:1" ht="15.75" customHeight="1" x14ac:dyDescent="0.2">
      <c r="A425" s="114"/>
    </row>
    <row r="426" spans="1:1" ht="15.75" customHeight="1" x14ac:dyDescent="0.2">
      <c r="A426" s="114"/>
    </row>
    <row r="427" spans="1:1" ht="15.75" customHeight="1" x14ac:dyDescent="0.2">
      <c r="A427" s="114"/>
    </row>
    <row r="428" spans="1:1" ht="15.75" customHeight="1" x14ac:dyDescent="0.2">
      <c r="A428" s="114"/>
    </row>
    <row r="429" spans="1:1" ht="15.75" customHeight="1" x14ac:dyDescent="0.2">
      <c r="A429" s="114"/>
    </row>
    <row r="430" spans="1:1" ht="15.75" customHeight="1" x14ac:dyDescent="0.2">
      <c r="A430" s="114"/>
    </row>
    <row r="431" spans="1:1" ht="15.75" customHeight="1" x14ac:dyDescent="0.2">
      <c r="A431" s="114"/>
    </row>
    <row r="432" spans="1:1" ht="15.75" customHeight="1" x14ac:dyDescent="0.2">
      <c r="A432" s="114"/>
    </row>
    <row r="433" spans="1:1" ht="15.75" customHeight="1" x14ac:dyDescent="0.2">
      <c r="A433" s="114"/>
    </row>
    <row r="434" spans="1:1" ht="15.75" customHeight="1" x14ac:dyDescent="0.2">
      <c r="A434" s="114"/>
    </row>
    <row r="435" spans="1:1" ht="15.75" customHeight="1" x14ac:dyDescent="0.2">
      <c r="A435" s="114"/>
    </row>
    <row r="436" spans="1:1" ht="15.75" customHeight="1" x14ac:dyDescent="0.2">
      <c r="A436" s="114"/>
    </row>
    <row r="437" spans="1:1" ht="15.75" customHeight="1" x14ac:dyDescent="0.2">
      <c r="A437" s="114"/>
    </row>
    <row r="438" spans="1:1" ht="15.75" customHeight="1" x14ac:dyDescent="0.2">
      <c r="A438" s="114"/>
    </row>
    <row r="439" spans="1:1" ht="15.75" customHeight="1" x14ac:dyDescent="0.2">
      <c r="A439" s="114"/>
    </row>
    <row r="440" spans="1:1" ht="15.75" customHeight="1" x14ac:dyDescent="0.2">
      <c r="A440" s="114"/>
    </row>
    <row r="441" spans="1:1" ht="15.75" customHeight="1" x14ac:dyDescent="0.2">
      <c r="A441" s="114"/>
    </row>
    <row r="442" spans="1:1" ht="15.75" customHeight="1" x14ac:dyDescent="0.2">
      <c r="A442" s="114"/>
    </row>
    <row r="443" spans="1:1" ht="15.75" customHeight="1" x14ac:dyDescent="0.2">
      <c r="A443" s="114"/>
    </row>
    <row r="444" spans="1:1" ht="15.75" customHeight="1" x14ac:dyDescent="0.2">
      <c r="A444" s="114"/>
    </row>
    <row r="445" spans="1:1" ht="15.75" customHeight="1" x14ac:dyDescent="0.2">
      <c r="A445" s="114"/>
    </row>
    <row r="446" spans="1:1" ht="15.75" customHeight="1" x14ac:dyDescent="0.2">
      <c r="A446" s="114"/>
    </row>
    <row r="447" spans="1:1" ht="15.75" customHeight="1" x14ac:dyDescent="0.2">
      <c r="A447" s="114"/>
    </row>
    <row r="448" spans="1:1" ht="15.75" customHeight="1" x14ac:dyDescent="0.2">
      <c r="A448" s="114"/>
    </row>
    <row r="449" spans="1:1" ht="15.75" customHeight="1" x14ac:dyDescent="0.2">
      <c r="A449" s="114"/>
    </row>
    <row r="450" spans="1:1" ht="15.75" customHeight="1" x14ac:dyDescent="0.2">
      <c r="A450" s="114"/>
    </row>
    <row r="451" spans="1:1" ht="15.75" customHeight="1" x14ac:dyDescent="0.2">
      <c r="A451" s="114"/>
    </row>
    <row r="452" spans="1:1" ht="15.75" customHeight="1" x14ac:dyDescent="0.2">
      <c r="A452" s="114"/>
    </row>
    <row r="453" spans="1:1" ht="15.75" customHeight="1" x14ac:dyDescent="0.2">
      <c r="A453" s="114"/>
    </row>
    <row r="454" spans="1:1" ht="15.75" customHeight="1" x14ac:dyDescent="0.2">
      <c r="A454" s="114"/>
    </row>
    <row r="455" spans="1:1" ht="15.75" customHeight="1" x14ac:dyDescent="0.2">
      <c r="A455" s="114"/>
    </row>
    <row r="456" spans="1:1" ht="15.75" customHeight="1" x14ac:dyDescent="0.2">
      <c r="A456" s="114"/>
    </row>
    <row r="457" spans="1:1" ht="15.75" customHeight="1" x14ac:dyDescent="0.2">
      <c r="A457" s="114"/>
    </row>
    <row r="458" spans="1:1" ht="15.75" customHeight="1" x14ac:dyDescent="0.2">
      <c r="A458" s="114"/>
    </row>
    <row r="459" spans="1:1" ht="15.75" customHeight="1" x14ac:dyDescent="0.2">
      <c r="A459" s="114"/>
    </row>
    <row r="460" spans="1:1" ht="15.75" customHeight="1" x14ac:dyDescent="0.2">
      <c r="A460" s="114"/>
    </row>
    <row r="461" spans="1:1" ht="15.75" customHeight="1" x14ac:dyDescent="0.2">
      <c r="A461" s="114"/>
    </row>
    <row r="462" spans="1:1" ht="15.75" customHeight="1" x14ac:dyDescent="0.2">
      <c r="A462" s="114"/>
    </row>
    <row r="463" spans="1:1" ht="15.75" customHeight="1" x14ac:dyDescent="0.2">
      <c r="A463" s="114"/>
    </row>
    <row r="464" spans="1:1" ht="15.75" customHeight="1" x14ac:dyDescent="0.2">
      <c r="A464" s="114"/>
    </row>
    <row r="465" spans="1:1" ht="15.75" customHeight="1" x14ac:dyDescent="0.2">
      <c r="A465" s="114"/>
    </row>
    <row r="466" spans="1:1" ht="15.75" customHeight="1" x14ac:dyDescent="0.2">
      <c r="A466" s="114"/>
    </row>
    <row r="467" spans="1:1" ht="15.75" customHeight="1" x14ac:dyDescent="0.2">
      <c r="A467" s="114"/>
    </row>
    <row r="468" spans="1:1" ht="15.75" customHeight="1" x14ac:dyDescent="0.2">
      <c r="A468" s="114"/>
    </row>
    <row r="469" spans="1:1" ht="15.75" customHeight="1" x14ac:dyDescent="0.2">
      <c r="A469" s="114"/>
    </row>
    <row r="470" spans="1:1" ht="15.75" customHeight="1" x14ac:dyDescent="0.2">
      <c r="A470" s="114"/>
    </row>
    <row r="471" spans="1:1" ht="15.75" customHeight="1" x14ac:dyDescent="0.2">
      <c r="A471" s="114"/>
    </row>
    <row r="472" spans="1:1" ht="15.75" customHeight="1" x14ac:dyDescent="0.2">
      <c r="A472" s="114"/>
    </row>
    <row r="473" spans="1:1" ht="15.75" customHeight="1" x14ac:dyDescent="0.2">
      <c r="A473" s="114"/>
    </row>
    <row r="474" spans="1:1" ht="15.75" customHeight="1" x14ac:dyDescent="0.2">
      <c r="A474" s="114"/>
    </row>
    <row r="475" spans="1:1" ht="15.75" customHeight="1" x14ac:dyDescent="0.2">
      <c r="A475" s="114"/>
    </row>
    <row r="476" spans="1:1" ht="15.75" customHeight="1" x14ac:dyDescent="0.2">
      <c r="A476" s="114"/>
    </row>
    <row r="477" spans="1:1" ht="15.75" customHeight="1" x14ac:dyDescent="0.2">
      <c r="A477" s="114"/>
    </row>
    <row r="478" spans="1:1" ht="15.75" customHeight="1" x14ac:dyDescent="0.2">
      <c r="A478" s="114"/>
    </row>
    <row r="479" spans="1:1" ht="15.75" customHeight="1" x14ac:dyDescent="0.2">
      <c r="A479" s="114"/>
    </row>
    <row r="480" spans="1:1" ht="15.75" customHeight="1" x14ac:dyDescent="0.2">
      <c r="A480" s="114"/>
    </row>
    <row r="481" spans="1:1" ht="15.75" customHeight="1" x14ac:dyDescent="0.2">
      <c r="A481" s="114"/>
    </row>
    <row r="482" spans="1:1" ht="15.75" customHeight="1" x14ac:dyDescent="0.2">
      <c r="A482" s="114"/>
    </row>
    <row r="483" spans="1:1" ht="15.75" customHeight="1" x14ac:dyDescent="0.2">
      <c r="A483" s="114"/>
    </row>
    <row r="484" spans="1:1" ht="15.75" customHeight="1" x14ac:dyDescent="0.2">
      <c r="A484" s="114"/>
    </row>
    <row r="485" spans="1:1" ht="15.75" customHeight="1" x14ac:dyDescent="0.2">
      <c r="A485" s="114"/>
    </row>
    <row r="486" spans="1:1" ht="15.75" customHeight="1" x14ac:dyDescent="0.2">
      <c r="A486" s="114"/>
    </row>
    <row r="487" spans="1:1" ht="15.75" customHeight="1" x14ac:dyDescent="0.2">
      <c r="A487" s="114"/>
    </row>
    <row r="488" spans="1:1" ht="15.75" customHeight="1" x14ac:dyDescent="0.2">
      <c r="A488" s="114"/>
    </row>
    <row r="489" spans="1:1" ht="15.75" customHeight="1" x14ac:dyDescent="0.2">
      <c r="A489" s="114"/>
    </row>
    <row r="490" spans="1:1" ht="15.75" customHeight="1" x14ac:dyDescent="0.2">
      <c r="A490" s="114"/>
    </row>
    <row r="491" spans="1:1" ht="15.75" customHeight="1" x14ac:dyDescent="0.2">
      <c r="A491" s="114"/>
    </row>
    <row r="492" spans="1:1" ht="15.75" customHeight="1" x14ac:dyDescent="0.2">
      <c r="A492" s="114"/>
    </row>
    <row r="493" spans="1:1" ht="15.75" customHeight="1" x14ac:dyDescent="0.2">
      <c r="A493" s="114"/>
    </row>
    <row r="494" spans="1:1" ht="15.75" customHeight="1" x14ac:dyDescent="0.2">
      <c r="A494" s="114"/>
    </row>
    <row r="495" spans="1:1" ht="15.75" customHeight="1" x14ac:dyDescent="0.2">
      <c r="A495" s="114"/>
    </row>
    <row r="496" spans="1:1" ht="15.75" customHeight="1" x14ac:dyDescent="0.2">
      <c r="A496" s="114"/>
    </row>
    <row r="497" spans="1:1" ht="15.75" customHeight="1" x14ac:dyDescent="0.2">
      <c r="A497" s="114"/>
    </row>
    <row r="498" spans="1:1" ht="15.75" customHeight="1" x14ac:dyDescent="0.2">
      <c r="A498" s="114"/>
    </row>
    <row r="499" spans="1:1" ht="15.75" customHeight="1" x14ac:dyDescent="0.2">
      <c r="A499" s="114"/>
    </row>
    <row r="500" spans="1:1" ht="15.75" customHeight="1" x14ac:dyDescent="0.2">
      <c r="A500" s="114"/>
    </row>
    <row r="501" spans="1:1" ht="15.75" customHeight="1" x14ac:dyDescent="0.2">
      <c r="A501" s="114"/>
    </row>
    <row r="502" spans="1:1" ht="15.75" customHeight="1" x14ac:dyDescent="0.2">
      <c r="A502" s="114"/>
    </row>
    <row r="503" spans="1:1" ht="15.75" customHeight="1" x14ac:dyDescent="0.2">
      <c r="A503" s="114"/>
    </row>
    <row r="504" spans="1:1" ht="15.75" customHeight="1" x14ac:dyDescent="0.2">
      <c r="A504" s="114"/>
    </row>
    <row r="505" spans="1:1" ht="15.75" customHeight="1" x14ac:dyDescent="0.2">
      <c r="A505" s="114"/>
    </row>
    <row r="506" spans="1:1" ht="15.75" customHeight="1" x14ac:dyDescent="0.2">
      <c r="A506" s="114"/>
    </row>
    <row r="507" spans="1:1" ht="15.75" customHeight="1" x14ac:dyDescent="0.2">
      <c r="A507" s="114"/>
    </row>
    <row r="508" spans="1:1" ht="15.75" customHeight="1" x14ac:dyDescent="0.2">
      <c r="A508" s="114"/>
    </row>
    <row r="509" spans="1:1" ht="15.75" customHeight="1" x14ac:dyDescent="0.2">
      <c r="A509" s="114"/>
    </row>
    <row r="510" spans="1:1" ht="15.75" customHeight="1" x14ac:dyDescent="0.2">
      <c r="A510" s="114"/>
    </row>
    <row r="511" spans="1:1" ht="15.75" customHeight="1" x14ac:dyDescent="0.2">
      <c r="A511" s="114"/>
    </row>
    <row r="512" spans="1:1" ht="15.75" customHeight="1" x14ac:dyDescent="0.2">
      <c r="A512" s="114"/>
    </row>
    <row r="513" spans="1:1" ht="15.75" customHeight="1" x14ac:dyDescent="0.2">
      <c r="A513" s="114"/>
    </row>
    <row r="514" spans="1:1" ht="15.75" customHeight="1" x14ac:dyDescent="0.2">
      <c r="A514" s="114"/>
    </row>
    <row r="515" spans="1:1" ht="15.75" customHeight="1" x14ac:dyDescent="0.2">
      <c r="A515" s="114"/>
    </row>
    <row r="516" spans="1:1" ht="15.75" customHeight="1" x14ac:dyDescent="0.2">
      <c r="A516" s="114"/>
    </row>
    <row r="517" spans="1:1" ht="15.75" customHeight="1" x14ac:dyDescent="0.2">
      <c r="A517" s="114"/>
    </row>
    <row r="518" spans="1:1" ht="15.75" customHeight="1" x14ac:dyDescent="0.2">
      <c r="A518" s="114"/>
    </row>
    <row r="519" spans="1:1" ht="15.75" customHeight="1" x14ac:dyDescent="0.2">
      <c r="A519" s="114"/>
    </row>
    <row r="520" spans="1:1" ht="15.75" customHeight="1" x14ac:dyDescent="0.2">
      <c r="A520" s="114"/>
    </row>
    <row r="521" spans="1:1" ht="15.75" customHeight="1" x14ac:dyDescent="0.2">
      <c r="A521" s="114"/>
    </row>
    <row r="522" spans="1:1" ht="15.75" customHeight="1" x14ac:dyDescent="0.2">
      <c r="A522" s="114"/>
    </row>
    <row r="523" spans="1:1" ht="15.75" customHeight="1" x14ac:dyDescent="0.2">
      <c r="A523" s="114"/>
    </row>
    <row r="524" spans="1:1" ht="15.75" customHeight="1" x14ac:dyDescent="0.2">
      <c r="A524" s="114"/>
    </row>
    <row r="525" spans="1:1" ht="15.75" customHeight="1" x14ac:dyDescent="0.2">
      <c r="A525" s="114"/>
    </row>
    <row r="526" spans="1:1" ht="15.75" customHeight="1" x14ac:dyDescent="0.2">
      <c r="A526" s="114"/>
    </row>
    <row r="527" spans="1:1" ht="15.75" customHeight="1" x14ac:dyDescent="0.2">
      <c r="A527" s="114"/>
    </row>
    <row r="528" spans="1:1" ht="15.75" customHeight="1" x14ac:dyDescent="0.2">
      <c r="A528" s="114"/>
    </row>
    <row r="529" spans="1:1" ht="15.75" customHeight="1" x14ac:dyDescent="0.2">
      <c r="A529" s="114"/>
    </row>
    <row r="530" spans="1:1" ht="15.75" customHeight="1" x14ac:dyDescent="0.2">
      <c r="A530" s="114"/>
    </row>
    <row r="531" spans="1:1" ht="15.75" customHeight="1" x14ac:dyDescent="0.2">
      <c r="A531" s="114"/>
    </row>
    <row r="532" spans="1:1" ht="15.75" customHeight="1" x14ac:dyDescent="0.2">
      <c r="A532" s="114"/>
    </row>
    <row r="533" spans="1:1" ht="15.75" customHeight="1" x14ac:dyDescent="0.2">
      <c r="A533" s="114"/>
    </row>
    <row r="534" spans="1:1" ht="15.75" customHeight="1" x14ac:dyDescent="0.2">
      <c r="A534" s="114"/>
    </row>
    <row r="535" spans="1:1" ht="15.75" customHeight="1" x14ac:dyDescent="0.2">
      <c r="A535" s="114"/>
    </row>
    <row r="536" spans="1:1" ht="15.75" customHeight="1" x14ac:dyDescent="0.2">
      <c r="A536" s="114"/>
    </row>
    <row r="537" spans="1:1" ht="15.75" customHeight="1" x14ac:dyDescent="0.2">
      <c r="A537" s="114"/>
    </row>
    <row r="538" spans="1:1" ht="15.75" customHeight="1" x14ac:dyDescent="0.2">
      <c r="A538" s="114"/>
    </row>
    <row r="539" spans="1:1" ht="15.75" customHeight="1" x14ac:dyDescent="0.2">
      <c r="A539" s="114"/>
    </row>
    <row r="540" spans="1:1" ht="15.75" customHeight="1" x14ac:dyDescent="0.2">
      <c r="A540" s="114"/>
    </row>
    <row r="541" spans="1:1" ht="15.75" customHeight="1" x14ac:dyDescent="0.2">
      <c r="A541" s="114"/>
    </row>
    <row r="542" spans="1:1" ht="15.75" customHeight="1" x14ac:dyDescent="0.2">
      <c r="A542" s="114"/>
    </row>
    <row r="543" spans="1:1" ht="15.75" customHeight="1" x14ac:dyDescent="0.2">
      <c r="A543" s="114"/>
    </row>
    <row r="544" spans="1:1" ht="15.75" customHeight="1" x14ac:dyDescent="0.2">
      <c r="A544" s="114"/>
    </row>
    <row r="545" spans="1:1" ht="15.75" customHeight="1" x14ac:dyDescent="0.2">
      <c r="A545" s="114"/>
    </row>
    <row r="546" spans="1:1" ht="15.75" customHeight="1" x14ac:dyDescent="0.2">
      <c r="A546" s="114"/>
    </row>
    <row r="547" spans="1:1" ht="15.75" customHeight="1" x14ac:dyDescent="0.2">
      <c r="A547" s="114"/>
    </row>
    <row r="548" spans="1:1" ht="15.75" customHeight="1" x14ac:dyDescent="0.2">
      <c r="A548" s="114"/>
    </row>
    <row r="549" spans="1:1" ht="15.75" customHeight="1" x14ac:dyDescent="0.2">
      <c r="A549" s="114"/>
    </row>
    <row r="550" spans="1:1" ht="15.75" customHeight="1" x14ac:dyDescent="0.2">
      <c r="A550" s="114"/>
    </row>
    <row r="551" spans="1:1" ht="15.75" customHeight="1" x14ac:dyDescent="0.2">
      <c r="A551" s="114"/>
    </row>
    <row r="552" spans="1:1" ht="15.75" customHeight="1" x14ac:dyDescent="0.2">
      <c r="A552" s="114"/>
    </row>
    <row r="553" spans="1:1" ht="15.75" customHeight="1" x14ac:dyDescent="0.2">
      <c r="A553" s="114"/>
    </row>
    <row r="554" spans="1:1" ht="15.75" customHeight="1" x14ac:dyDescent="0.2">
      <c r="A554" s="114"/>
    </row>
    <row r="555" spans="1:1" ht="15.75" customHeight="1" x14ac:dyDescent="0.2">
      <c r="A555" s="114"/>
    </row>
    <row r="556" spans="1:1" ht="15.75" customHeight="1" x14ac:dyDescent="0.2">
      <c r="A556" s="114"/>
    </row>
    <row r="557" spans="1:1" ht="15.75" customHeight="1" x14ac:dyDescent="0.2">
      <c r="A557" s="114"/>
    </row>
    <row r="558" spans="1:1" ht="15.75" customHeight="1" x14ac:dyDescent="0.2">
      <c r="A558" s="114"/>
    </row>
    <row r="559" spans="1:1" ht="15.75" customHeight="1" x14ac:dyDescent="0.2">
      <c r="A559" s="114"/>
    </row>
    <row r="560" spans="1:1" ht="15.75" customHeight="1" x14ac:dyDescent="0.2">
      <c r="A560" s="114"/>
    </row>
    <row r="561" spans="1:1" ht="15.75" customHeight="1" x14ac:dyDescent="0.2">
      <c r="A561" s="114"/>
    </row>
    <row r="562" spans="1:1" ht="15.75" customHeight="1" x14ac:dyDescent="0.2">
      <c r="A562" s="114"/>
    </row>
    <row r="563" spans="1:1" ht="15.75" customHeight="1" x14ac:dyDescent="0.2">
      <c r="A563" s="114"/>
    </row>
    <row r="564" spans="1:1" ht="15.75" customHeight="1" x14ac:dyDescent="0.2">
      <c r="A564" s="114"/>
    </row>
    <row r="565" spans="1:1" ht="15.75" customHeight="1" x14ac:dyDescent="0.2">
      <c r="A565" s="114"/>
    </row>
    <row r="566" spans="1:1" ht="15.75" customHeight="1" x14ac:dyDescent="0.2">
      <c r="A566" s="114"/>
    </row>
    <row r="567" spans="1:1" ht="15.75" customHeight="1" x14ac:dyDescent="0.2">
      <c r="A567" s="114"/>
    </row>
    <row r="568" spans="1:1" ht="15.75" customHeight="1" x14ac:dyDescent="0.2">
      <c r="A568" s="114"/>
    </row>
    <row r="569" spans="1:1" ht="15.75" customHeight="1" x14ac:dyDescent="0.2">
      <c r="A569" s="114"/>
    </row>
    <row r="570" spans="1:1" ht="15.75" customHeight="1" x14ac:dyDescent="0.2">
      <c r="A570" s="114"/>
    </row>
    <row r="571" spans="1:1" ht="15.75" customHeight="1" x14ac:dyDescent="0.2">
      <c r="A571" s="114"/>
    </row>
    <row r="572" spans="1:1" ht="15.75" customHeight="1" x14ac:dyDescent="0.2">
      <c r="A572" s="114"/>
    </row>
    <row r="573" spans="1:1" ht="15.75" customHeight="1" x14ac:dyDescent="0.2">
      <c r="A573" s="114"/>
    </row>
    <row r="574" spans="1:1" ht="15.75" customHeight="1" x14ac:dyDescent="0.2">
      <c r="A574" s="114"/>
    </row>
    <row r="575" spans="1:1" ht="15.75" customHeight="1" x14ac:dyDescent="0.2">
      <c r="A575" s="114"/>
    </row>
    <row r="576" spans="1:1" ht="15.75" customHeight="1" x14ac:dyDescent="0.2">
      <c r="A576" s="114"/>
    </row>
    <row r="577" spans="1:1" ht="15.75" customHeight="1" x14ac:dyDescent="0.2">
      <c r="A577" s="114"/>
    </row>
    <row r="578" spans="1:1" ht="15.75" customHeight="1" x14ac:dyDescent="0.2">
      <c r="A578" s="114"/>
    </row>
    <row r="579" spans="1:1" ht="15.75" customHeight="1" x14ac:dyDescent="0.2">
      <c r="A579" s="114"/>
    </row>
    <row r="580" spans="1:1" ht="15.75" customHeight="1" x14ac:dyDescent="0.2">
      <c r="A580" s="114"/>
    </row>
    <row r="581" spans="1:1" ht="15.75" customHeight="1" x14ac:dyDescent="0.2">
      <c r="A581" s="114"/>
    </row>
    <row r="582" spans="1:1" ht="15.75" customHeight="1" x14ac:dyDescent="0.2">
      <c r="A582" s="114"/>
    </row>
    <row r="583" spans="1:1" ht="15.75" customHeight="1" x14ac:dyDescent="0.2">
      <c r="A583" s="114"/>
    </row>
    <row r="584" spans="1:1" ht="15.75" customHeight="1" x14ac:dyDescent="0.2">
      <c r="A584" s="114"/>
    </row>
    <row r="585" spans="1:1" ht="15.75" customHeight="1" x14ac:dyDescent="0.2">
      <c r="A585" s="114"/>
    </row>
    <row r="586" spans="1:1" ht="15.75" customHeight="1" x14ac:dyDescent="0.2">
      <c r="A586" s="114"/>
    </row>
    <row r="587" spans="1:1" ht="15.75" customHeight="1" x14ac:dyDescent="0.2">
      <c r="A587" s="114"/>
    </row>
    <row r="588" spans="1:1" ht="15.75" customHeight="1" x14ac:dyDescent="0.2">
      <c r="A588" s="114"/>
    </row>
    <row r="589" spans="1:1" ht="15.75" customHeight="1" x14ac:dyDescent="0.2">
      <c r="A589" s="114"/>
    </row>
    <row r="590" spans="1:1" ht="15.75" customHeight="1" x14ac:dyDescent="0.2">
      <c r="A590" s="114"/>
    </row>
    <row r="591" spans="1:1" ht="15.75" customHeight="1" x14ac:dyDescent="0.2">
      <c r="A591" s="114"/>
    </row>
    <row r="592" spans="1:1" ht="15.75" customHeight="1" x14ac:dyDescent="0.2">
      <c r="A592" s="114"/>
    </row>
    <row r="593" spans="1:1" ht="15.75" customHeight="1" x14ac:dyDescent="0.2">
      <c r="A593" s="114"/>
    </row>
    <row r="594" spans="1:1" ht="15.75" customHeight="1" x14ac:dyDescent="0.2">
      <c r="A594" s="114"/>
    </row>
    <row r="595" spans="1:1" ht="15.75" customHeight="1" x14ac:dyDescent="0.2">
      <c r="A595" s="114"/>
    </row>
    <row r="596" spans="1:1" ht="15.75" customHeight="1" x14ac:dyDescent="0.2">
      <c r="A596" s="114"/>
    </row>
    <row r="597" spans="1:1" ht="15.75" customHeight="1" x14ac:dyDescent="0.2">
      <c r="A597" s="114"/>
    </row>
    <row r="598" spans="1:1" ht="15.75" customHeight="1" x14ac:dyDescent="0.2">
      <c r="A598" s="114"/>
    </row>
    <row r="599" spans="1:1" ht="15.75" customHeight="1" x14ac:dyDescent="0.2">
      <c r="A599" s="114"/>
    </row>
    <row r="600" spans="1:1" ht="15.75" customHeight="1" x14ac:dyDescent="0.2">
      <c r="A600" s="114"/>
    </row>
    <row r="601" spans="1:1" ht="15.75" customHeight="1" x14ac:dyDescent="0.2">
      <c r="A601" s="114"/>
    </row>
    <row r="602" spans="1:1" ht="15.75" customHeight="1" x14ac:dyDescent="0.2">
      <c r="A602" s="114"/>
    </row>
    <row r="603" spans="1:1" ht="15.75" customHeight="1" x14ac:dyDescent="0.2">
      <c r="A603" s="114"/>
    </row>
    <row r="604" spans="1:1" ht="15.75" customHeight="1" x14ac:dyDescent="0.2">
      <c r="A604" s="114"/>
    </row>
    <row r="605" spans="1:1" ht="15.75" customHeight="1" x14ac:dyDescent="0.2">
      <c r="A605" s="114"/>
    </row>
    <row r="606" spans="1:1" ht="15.75" customHeight="1" x14ac:dyDescent="0.2">
      <c r="A606" s="114"/>
    </row>
    <row r="607" spans="1:1" ht="15.75" customHeight="1" x14ac:dyDescent="0.2">
      <c r="A607" s="114"/>
    </row>
    <row r="608" spans="1:1" ht="15.75" customHeight="1" x14ac:dyDescent="0.2">
      <c r="A608" s="114"/>
    </row>
    <row r="609" spans="1:1" ht="15.75" customHeight="1" x14ac:dyDescent="0.2">
      <c r="A609" s="114"/>
    </row>
    <row r="610" spans="1:1" ht="15.75" customHeight="1" x14ac:dyDescent="0.2">
      <c r="A610" s="114"/>
    </row>
    <row r="611" spans="1:1" ht="15.75" customHeight="1" x14ac:dyDescent="0.2">
      <c r="A611" s="114"/>
    </row>
    <row r="612" spans="1:1" ht="15.75" customHeight="1" x14ac:dyDescent="0.2">
      <c r="A612" s="114"/>
    </row>
    <row r="613" spans="1:1" ht="15.75" customHeight="1" x14ac:dyDescent="0.2">
      <c r="A613" s="114"/>
    </row>
    <row r="614" spans="1:1" ht="15.75" customHeight="1" x14ac:dyDescent="0.2">
      <c r="A614" s="114"/>
    </row>
    <row r="615" spans="1:1" ht="15.75" customHeight="1" x14ac:dyDescent="0.2">
      <c r="A615" s="114"/>
    </row>
    <row r="616" spans="1:1" ht="15.75" customHeight="1" x14ac:dyDescent="0.2">
      <c r="A616" s="114"/>
    </row>
    <row r="617" spans="1:1" ht="15.75" customHeight="1" x14ac:dyDescent="0.2">
      <c r="A617" s="114"/>
    </row>
    <row r="618" spans="1:1" ht="15.75" customHeight="1" x14ac:dyDescent="0.2">
      <c r="A618" s="114"/>
    </row>
    <row r="619" spans="1:1" ht="15.75" customHeight="1" x14ac:dyDescent="0.2">
      <c r="A619" s="114"/>
    </row>
    <row r="620" spans="1:1" ht="15.75" customHeight="1" x14ac:dyDescent="0.2">
      <c r="A620" s="114"/>
    </row>
    <row r="621" spans="1:1" ht="15.75" customHeight="1" x14ac:dyDescent="0.2">
      <c r="A621" s="114"/>
    </row>
    <row r="622" spans="1:1" ht="15.75" customHeight="1" x14ac:dyDescent="0.2">
      <c r="A622" s="114"/>
    </row>
    <row r="623" spans="1:1" ht="15.75" customHeight="1" x14ac:dyDescent="0.2">
      <c r="A623" s="114"/>
    </row>
    <row r="624" spans="1:1" ht="15.75" customHeight="1" x14ac:dyDescent="0.2">
      <c r="A624" s="114"/>
    </row>
    <row r="625" spans="1:1" ht="15.75" customHeight="1" x14ac:dyDescent="0.2">
      <c r="A625" s="114"/>
    </row>
    <row r="626" spans="1:1" ht="15.75" customHeight="1" x14ac:dyDescent="0.2">
      <c r="A626" s="114"/>
    </row>
    <row r="627" spans="1:1" ht="15.75" customHeight="1" x14ac:dyDescent="0.2">
      <c r="A627" s="114"/>
    </row>
    <row r="628" spans="1:1" ht="15.75" customHeight="1" x14ac:dyDescent="0.2">
      <c r="A628" s="114"/>
    </row>
    <row r="629" spans="1:1" ht="15.75" customHeight="1" x14ac:dyDescent="0.2">
      <c r="A629" s="114"/>
    </row>
    <row r="630" spans="1:1" ht="15.75" customHeight="1" x14ac:dyDescent="0.2">
      <c r="A630" s="114"/>
    </row>
    <row r="631" spans="1:1" ht="15.75" customHeight="1" x14ac:dyDescent="0.2">
      <c r="A631" s="114"/>
    </row>
    <row r="632" spans="1:1" ht="15.75" customHeight="1" x14ac:dyDescent="0.2">
      <c r="A632" s="114"/>
    </row>
    <row r="633" spans="1:1" ht="15.75" customHeight="1" x14ac:dyDescent="0.2">
      <c r="A633" s="114"/>
    </row>
    <row r="634" spans="1:1" ht="15.75" customHeight="1" x14ac:dyDescent="0.2">
      <c r="A634" s="114"/>
    </row>
    <row r="635" spans="1:1" ht="15.75" customHeight="1" x14ac:dyDescent="0.2">
      <c r="A635" s="114"/>
    </row>
    <row r="636" spans="1:1" ht="15.75" customHeight="1" x14ac:dyDescent="0.2">
      <c r="A636" s="114"/>
    </row>
    <row r="637" spans="1:1" ht="15.75" customHeight="1" x14ac:dyDescent="0.2">
      <c r="A637" s="114"/>
    </row>
    <row r="638" spans="1:1" ht="15.75" customHeight="1" x14ac:dyDescent="0.2">
      <c r="A638" s="114"/>
    </row>
    <row r="639" spans="1:1" ht="15.75" customHeight="1" x14ac:dyDescent="0.2">
      <c r="A639" s="114"/>
    </row>
    <row r="640" spans="1:1" ht="15.75" customHeight="1" x14ac:dyDescent="0.2">
      <c r="A640" s="114"/>
    </row>
    <row r="641" spans="1:1" ht="15.75" customHeight="1" x14ac:dyDescent="0.2">
      <c r="A641" s="114"/>
    </row>
    <row r="642" spans="1:1" ht="15.75" customHeight="1" x14ac:dyDescent="0.2">
      <c r="A642" s="114"/>
    </row>
    <row r="643" spans="1:1" ht="15.75" customHeight="1" x14ac:dyDescent="0.2">
      <c r="A643" s="114"/>
    </row>
    <row r="644" spans="1:1" ht="15.75" customHeight="1" x14ac:dyDescent="0.2">
      <c r="A644" s="114"/>
    </row>
    <row r="645" spans="1:1" ht="15.75" customHeight="1" x14ac:dyDescent="0.2">
      <c r="A645" s="114"/>
    </row>
    <row r="646" spans="1:1" ht="15.75" customHeight="1" x14ac:dyDescent="0.2">
      <c r="A646" s="114"/>
    </row>
    <row r="647" spans="1:1" ht="15.75" customHeight="1" x14ac:dyDescent="0.2">
      <c r="A647" s="114"/>
    </row>
    <row r="648" spans="1:1" ht="15.75" customHeight="1" x14ac:dyDescent="0.2">
      <c r="A648" s="114"/>
    </row>
    <row r="649" spans="1:1" ht="15.75" customHeight="1" x14ac:dyDescent="0.2">
      <c r="A649" s="114"/>
    </row>
    <row r="650" spans="1:1" ht="15.75" customHeight="1" x14ac:dyDescent="0.2">
      <c r="A650" s="114"/>
    </row>
    <row r="651" spans="1:1" ht="15.75" customHeight="1" x14ac:dyDescent="0.2">
      <c r="A651" s="114"/>
    </row>
    <row r="652" spans="1:1" ht="15.75" customHeight="1" x14ac:dyDescent="0.2">
      <c r="A652" s="114"/>
    </row>
    <row r="653" spans="1:1" ht="15.75" customHeight="1" x14ac:dyDescent="0.2">
      <c r="A653" s="114"/>
    </row>
    <row r="654" spans="1:1" ht="15.75" customHeight="1" x14ac:dyDescent="0.2">
      <c r="A654" s="114"/>
    </row>
    <row r="655" spans="1:1" ht="15.75" customHeight="1" x14ac:dyDescent="0.2">
      <c r="A655" s="114"/>
    </row>
    <row r="656" spans="1:1" ht="15.75" customHeight="1" x14ac:dyDescent="0.2">
      <c r="A656" s="114"/>
    </row>
    <row r="657" spans="1:1" ht="15.75" customHeight="1" x14ac:dyDescent="0.2">
      <c r="A657" s="114"/>
    </row>
    <row r="658" spans="1:1" ht="15.75" customHeight="1" x14ac:dyDescent="0.2">
      <c r="A658" s="114"/>
    </row>
    <row r="659" spans="1:1" ht="15.75" customHeight="1" x14ac:dyDescent="0.2">
      <c r="A659" s="114"/>
    </row>
    <row r="660" spans="1:1" ht="15.75" customHeight="1" x14ac:dyDescent="0.2">
      <c r="A660" s="114"/>
    </row>
    <row r="661" spans="1:1" ht="15.75" customHeight="1" x14ac:dyDescent="0.2">
      <c r="A661" s="114"/>
    </row>
    <row r="662" spans="1:1" ht="15.75" customHeight="1" x14ac:dyDescent="0.2">
      <c r="A662" s="114"/>
    </row>
    <row r="663" spans="1:1" ht="15.75" customHeight="1" x14ac:dyDescent="0.2">
      <c r="A663" s="114"/>
    </row>
    <row r="664" spans="1:1" ht="15.75" customHeight="1" x14ac:dyDescent="0.2">
      <c r="A664" s="114"/>
    </row>
    <row r="665" spans="1:1" ht="15.75" customHeight="1" x14ac:dyDescent="0.2">
      <c r="A665" s="114"/>
    </row>
    <row r="666" spans="1:1" ht="15.75" customHeight="1" x14ac:dyDescent="0.2">
      <c r="A666" s="114"/>
    </row>
    <row r="667" spans="1:1" ht="15.75" customHeight="1" x14ac:dyDescent="0.2">
      <c r="A667" s="114"/>
    </row>
    <row r="668" spans="1:1" ht="15.75" customHeight="1" x14ac:dyDescent="0.2">
      <c r="A668" s="114"/>
    </row>
    <row r="669" spans="1:1" ht="15.75" customHeight="1" x14ac:dyDescent="0.2">
      <c r="A669" s="114"/>
    </row>
    <row r="670" spans="1:1" ht="15.75" customHeight="1" x14ac:dyDescent="0.2">
      <c r="A670" s="114"/>
    </row>
    <row r="671" spans="1:1" ht="15.75" customHeight="1" x14ac:dyDescent="0.2">
      <c r="A671" s="114"/>
    </row>
    <row r="672" spans="1:1" ht="15.75" customHeight="1" x14ac:dyDescent="0.2">
      <c r="A672" s="114"/>
    </row>
    <row r="673" spans="1:1" ht="15.75" customHeight="1" x14ac:dyDescent="0.2">
      <c r="A673" s="114"/>
    </row>
    <row r="674" spans="1:1" ht="15.75" customHeight="1" x14ac:dyDescent="0.2">
      <c r="A674" s="114"/>
    </row>
    <row r="675" spans="1:1" ht="15.75" customHeight="1" x14ac:dyDescent="0.2">
      <c r="A675" s="114"/>
    </row>
    <row r="676" spans="1:1" ht="15.75" customHeight="1" x14ac:dyDescent="0.2">
      <c r="A676" s="114"/>
    </row>
    <row r="677" spans="1:1" ht="15.75" customHeight="1" x14ac:dyDescent="0.2">
      <c r="A677" s="114"/>
    </row>
    <row r="678" spans="1:1" ht="15.75" customHeight="1" x14ac:dyDescent="0.2">
      <c r="A678" s="114"/>
    </row>
    <row r="679" spans="1:1" ht="15.75" customHeight="1" x14ac:dyDescent="0.2">
      <c r="A679" s="114"/>
    </row>
    <row r="680" spans="1:1" ht="15.75" customHeight="1" x14ac:dyDescent="0.2">
      <c r="A680" s="114"/>
    </row>
    <row r="681" spans="1:1" ht="15.75" customHeight="1" x14ac:dyDescent="0.2">
      <c r="A681" s="114"/>
    </row>
    <row r="682" spans="1:1" ht="15.75" customHeight="1" x14ac:dyDescent="0.2">
      <c r="A682" s="114"/>
    </row>
    <row r="683" spans="1:1" ht="15.75" customHeight="1" x14ac:dyDescent="0.2">
      <c r="A683" s="114"/>
    </row>
    <row r="684" spans="1:1" ht="15.75" customHeight="1" x14ac:dyDescent="0.2">
      <c r="A684" s="114"/>
    </row>
    <row r="685" spans="1:1" ht="15.75" customHeight="1" x14ac:dyDescent="0.2">
      <c r="A685" s="114"/>
    </row>
    <row r="686" spans="1:1" ht="15.75" customHeight="1" x14ac:dyDescent="0.2">
      <c r="A686" s="114"/>
    </row>
    <row r="687" spans="1:1" ht="15.75" customHeight="1" x14ac:dyDescent="0.2">
      <c r="A687" s="114"/>
    </row>
    <row r="688" spans="1:1" ht="15.75" customHeight="1" x14ac:dyDescent="0.2">
      <c r="A688" s="114"/>
    </row>
    <row r="689" spans="1:1" ht="15.75" customHeight="1" x14ac:dyDescent="0.2">
      <c r="A689" s="114"/>
    </row>
    <row r="690" spans="1:1" ht="15.75" customHeight="1" x14ac:dyDescent="0.2">
      <c r="A690" s="114"/>
    </row>
    <row r="691" spans="1:1" ht="15.75" customHeight="1" x14ac:dyDescent="0.2">
      <c r="A691" s="114"/>
    </row>
    <row r="692" spans="1:1" ht="15.75" customHeight="1" x14ac:dyDescent="0.2">
      <c r="A692" s="114"/>
    </row>
    <row r="693" spans="1:1" ht="15.75" customHeight="1" x14ac:dyDescent="0.2">
      <c r="A693" s="114"/>
    </row>
    <row r="694" spans="1:1" ht="15.75" customHeight="1" x14ac:dyDescent="0.2">
      <c r="A694" s="114"/>
    </row>
    <row r="695" spans="1:1" ht="15.75" customHeight="1" x14ac:dyDescent="0.2">
      <c r="A695" s="114"/>
    </row>
    <row r="696" spans="1:1" ht="15.75" customHeight="1" x14ac:dyDescent="0.2">
      <c r="A696" s="114"/>
    </row>
    <row r="697" spans="1:1" ht="15.75" customHeight="1" x14ac:dyDescent="0.2">
      <c r="A697" s="114"/>
    </row>
    <row r="698" spans="1:1" ht="15.75" customHeight="1" x14ac:dyDescent="0.2">
      <c r="A698" s="114"/>
    </row>
    <row r="699" spans="1:1" ht="15.75" customHeight="1" x14ac:dyDescent="0.2">
      <c r="A699" s="114"/>
    </row>
    <row r="700" spans="1:1" ht="15.75" customHeight="1" x14ac:dyDescent="0.2">
      <c r="A700" s="114"/>
    </row>
    <row r="701" spans="1:1" ht="15.75" customHeight="1" x14ac:dyDescent="0.2">
      <c r="A701" s="114"/>
    </row>
    <row r="702" spans="1:1" ht="15.75" customHeight="1" x14ac:dyDescent="0.2">
      <c r="A702" s="114"/>
    </row>
    <row r="703" spans="1:1" ht="15.75" customHeight="1" x14ac:dyDescent="0.2">
      <c r="A703" s="114"/>
    </row>
    <row r="704" spans="1:1" ht="15.75" customHeight="1" x14ac:dyDescent="0.2">
      <c r="A704" s="114"/>
    </row>
    <row r="705" spans="1:1" ht="15.75" customHeight="1" x14ac:dyDescent="0.2">
      <c r="A705" s="114"/>
    </row>
    <row r="706" spans="1:1" ht="15.75" customHeight="1" x14ac:dyDescent="0.2">
      <c r="A706" s="114"/>
    </row>
    <row r="707" spans="1:1" ht="15.75" customHeight="1" x14ac:dyDescent="0.2">
      <c r="A707" s="114"/>
    </row>
    <row r="708" spans="1:1" ht="15.75" customHeight="1" x14ac:dyDescent="0.2">
      <c r="A708" s="114"/>
    </row>
    <row r="709" spans="1:1" ht="15.75" customHeight="1" x14ac:dyDescent="0.2">
      <c r="A709" s="114"/>
    </row>
    <row r="710" spans="1:1" ht="15.75" customHeight="1" x14ac:dyDescent="0.2">
      <c r="A710" s="114"/>
    </row>
    <row r="711" spans="1:1" ht="15.75" customHeight="1" x14ac:dyDescent="0.2">
      <c r="A711" s="114"/>
    </row>
    <row r="712" spans="1:1" ht="15.75" customHeight="1" x14ac:dyDescent="0.2">
      <c r="A712" s="114"/>
    </row>
    <row r="713" spans="1:1" ht="15.75" customHeight="1" x14ac:dyDescent="0.2">
      <c r="A713" s="114"/>
    </row>
    <row r="714" spans="1:1" ht="15.75" customHeight="1" x14ac:dyDescent="0.2">
      <c r="A714" s="114"/>
    </row>
    <row r="715" spans="1:1" ht="15.75" customHeight="1" x14ac:dyDescent="0.2">
      <c r="A715" s="114"/>
    </row>
    <row r="716" spans="1:1" ht="15.75" customHeight="1" x14ac:dyDescent="0.2">
      <c r="A716" s="114"/>
    </row>
    <row r="717" spans="1:1" ht="15.75" customHeight="1" x14ac:dyDescent="0.2">
      <c r="A717" s="114"/>
    </row>
    <row r="718" spans="1:1" ht="15.75" customHeight="1" x14ac:dyDescent="0.2">
      <c r="A718" s="114"/>
    </row>
    <row r="719" spans="1:1" ht="15.75" customHeight="1" x14ac:dyDescent="0.2">
      <c r="A719" s="114"/>
    </row>
    <row r="720" spans="1:1" ht="15.75" customHeight="1" x14ac:dyDescent="0.2">
      <c r="A720" s="114"/>
    </row>
    <row r="721" spans="1:1" ht="15.75" customHeight="1" x14ac:dyDescent="0.2">
      <c r="A721" s="114"/>
    </row>
    <row r="722" spans="1:1" ht="15.75" customHeight="1" x14ac:dyDescent="0.2">
      <c r="A722" s="114"/>
    </row>
    <row r="723" spans="1:1" ht="15.75" customHeight="1" x14ac:dyDescent="0.2">
      <c r="A723" s="114"/>
    </row>
    <row r="724" spans="1:1" ht="15.75" customHeight="1" x14ac:dyDescent="0.2">
      <c r="A724" s="114"/>
    </row>
    <row r="725" spans="1:1" ht="15.75" customHeight="1" x14ac:dyDescent="0.2">
      <c r="A725" s="114"/>
    </row>
    <row r="726" spans="1:1" ht="15.75" customHeight="1" x14ac:dyDescent="0.2">
      <c r="A726" s="114"/>
    </row>
    <row r="727" spans="1:1" ht="15.75" customHeight="1" x14ac:dyDescent="0.2">
      <c r="A727" s="114"/>
    </row>
    <row r="728" spans="1:1" ht="15.75" customHeight="1" x14ac:dyDescent="0.2">
      <c r="A728" s="114"/>
    </row>
    <row r="729" spans="1:1" ht="15.75" customHeight="1" x14ac:dyDescent="0.2">
      <c r="A729" s="114"/>
    </row>
    <row r="730" spans="1:1" ht="15.75" customHeight="1" x14ac:dyDescent="0.2">
      <c r="A730" s="114"/>
    </row>
    <row r="731" spans="1:1" ht="15.75" customHeight="1" x14ac:dyDescent="0.2">
      <c r="A731" s="114"/>
    </row>
    <row r="732" spans="1:1" ht="15.75" customHeight="1" x14ac:dyDescent="0.2">
      <c r="A732" s="114"/>
    </row>
    <row r="733" spans="1:1" ht="15.75" customHeight="1" x14ac:dyDescent="0.2">
      <c r="A733" s="114"/>
    </row>
    <row r="734" spans="1:1" ht="15.75" customHeight="1" x14ac:dyDescent="0.2">
      <c r="A734" s="114"/>
    </row>
    <row r="735" spans="1:1" ht="15.75" customHeight="1" x14ac:dyDescent="0.2">
      <c r="A735" s="114"/>
    </row>
    <row r="736" spans="1:1" ht="15.75" customHeight="1" x14ac:dyDescent="0.2">
      <c r="A736" s="114"/>
    </row>
    <row r="737" spans="1:1" ht="15.75" customHeight="1" x14ac:dyDescent="0.2">
      <c r="A737" s="114"/>
    </row>
    <row r="738" spans="1:1" ht="15.75" customHeight="1" x14ac:dyDescent="0.2">
      <c r="A738" s="114"/>
    </row>
    <row r="739" spans="1:1" ht="15.75" customHeight="1" x14ac:dyDescent="0.2">
      <c r="A739" s="114"/>
    </row>
    <row r="740" spans="1:1" ht="15.75" customHeight="1" x14ac:dyDescent="0.2">
      <c r="A740" s="114"/>
    </row>
    <row r="741" spans="1:1" ht="15.75" customHeight="1" x14ac:dyDescent="0.2">
      <c r="A741" s="114"/>
    </row>
    <row r="742" spans="1:1" ht="15.75" customHeight="1" x14ac:dyDescent="0.2">
      <c r="A742" s="114"/>
    </row>
    <row r="743" spans="1:1" ht="15.75" customHeight="1" x14ac:dyDescent="0.2">
      <c r="A743" s="114"/>
    </row>
    <row r="744" spans="1:1" ht="15.75" customHeight="1" x14ac:dyDescent="0.2">
      <c r="A744" s="114"/>
    </row>
    <row r="745" spans="1:1" ht="15.75" customHeight="1" x14ac:dyDescent="0.2">
      <c r="A745" s="114"/>
    </row>
    <row r="746" spans="1:1" ht="15.75" customHeight="1" x14ac:dyDescent="0.2">
      <c r="A746" s="114"/>
    </row>
    <row r="747" spans="1:1" ht="15.75" customHeight="1" x14ac:dyDescent="0.2">
      <c r="A747" s="114"/>
    </row>
    <row r="748" spans="1:1" ht="15.75" customHeight="1" x14ac:dyDescent="0.2">
      <c r="A748" s="114"/>
    </row>
    <row r="749" spans="1:1" ht="15.75" customHeight="1" x14ac:dyDescent="0.2">
      <c r="A749" s="114"/>
    </row>
    <row r="750" spans="1:1" ht="15.75" customHeight="1" x14ac:dyDescent="0.2">
      <c r="A750" s="114"/>
    </row>
    <row r="751" spans="1:1" ht="15.75" customHeight="1" x14ac:dyDescent="0.2">
      <c r="A751" s="114"/>
    </row>
    <row r="752" spans="1:1" ht="15.75" customHeight="1" x14ac:dyDescent="0.2">
      <c r="A752" s="114"/>
    </row>
    <row r="753" spans="1:1" ht="15.75" customHeight="1" x14ac:dyDescent="0.2">
      <c r="A753" s="114"/>
    </row>
    <row r="754" spans="1:1" ht="15.75" customHeight="1" x14ac:dyDescent="0.2">
      <c r="A754" s="114"/>
    </row>
    <row r="755" spans="1:1" ht="15.75" customHeight="1" x14ac:dyDescent="0.2">
      <c r="A755" s="114"/>
    </row>
    <row r="756" spans="1:1" ht="15.75" customHeight="1" x14ac:dyDescent="0.2">
      <c r="A756" s="114"/>
    </row>
    <row r="757" spans="1:1" ht="15.75" customHeight="1" x14ac:dyDescent="0.2">
      <c r="A757" s="114"/>
    </row>
    <row r="758" spans="1:1" ht="15.75" customHeight="1" x14ac:dyDescent="0.2">
      <c r="A758" s="114"/>
    </row>
    <row r="759" spans="1:1" ht="15.75" customHeight="1" x14ac:dyDescent="0.2">
      <c r="A759" s="114"/>
    </row>
    <row r="760" spans="1:1" ht="15.75" customHeight="1" x14ac:dyDescent="0.2">
      <c r="A760" s="114"/>
    </row>
    <row r="761" spans="1:1" ht="15.75" customHeight="1" x14ac:dyDescent="0.2">
      <c r="A761" s="114"/>
    </row>
    <row r="762" spans="1:1" ht="15.75" customHeight="1" x14ac:dyDescent="0.2">
      <c r="A762" s="114"/>
    </row>
    <row r="763" spans="1:1" ht="15.75" customHeight="1" x14ac:dyDescent="0.2">
      <c r="A763" s="114"/>
    </row>
    <row r="764" spans="1:1" ht="15.75" customHeight="1" x14ac:dyDescent="0.2">
      <c r="A764" s="114"/>
    </row>
    <row r="765" spans="1:1" ht="15.75" customHeight="1" x14ac:dyDescent="0.2">
      <c r="A765" s="114"/>
    </row>
    <row r="766" spans="1:1" ht="15.75" customHeight="1" x14ac:dyDescent="0.2">
      <c r="A766" s="114"/>
    </row>
    <row r="767" spans="1:1" ht="15.75" customHeight="1" x14ac:dyDescent="0.2">
      <c r="A767" s="114"/>
    </row>
    <row r="768" spans="1:1" ht="15.75" customHeight="1" x14ac:dyDescent="0.2">
      <c r="A768" s="114"/>
    </row>
    <row r="769" spans="1:1" ht="15.75" customHeight="1" x14ac:dyDescent="0.2">
      <c r="A769" s="114"/>
    </row>
    <row r="770" spans="1:1" ht="15.75" customHeight="1" x14ac:dyDescent="0.2">
      <c r="A770" s="114"/>
    </row>
    <row r="771" spans="1:1" ht="15.75" customHeight="1" x14ac:dyDescent="0.2">
      <c r="A771" s="114"/>
    </row>
    <row r="772" spans="1:1" ht="15.75" customHeight="1" x14ac:dyDescent="0.2">
      <c r="A772" s="114"/>
    </row>
    <row r="773" spans="1:1" ht="15.75" customHeight="1" x14ac:dyDescent="0.2">
      <c r="A773" s="114"/>
    </row>
    <row r="774" spans="1:1" ht="15.75" customHeight="1" x14ac:dyDescent="0.2">
      <c r="A774" s="114"/>
    </row>
    <row r="775" spans="1:1" ht="15.75" customHeight="1" x14ac:dyDescent="0.2">
      <c r="A775" s="114"/>
    </row>
    <row r="776" spans="1:1" ht="15.75" customHeight="1" x14ac:dyDescent="0.2">
      <c r="A776" s="114"/>
    </row>
    <row r="777" spans="1:1" ht="15.75" customHeight="1" x14ac:dyDescent="0.2">
      <c r="A777" s="114"/>
    </row>
    <row r="778" spans="1:1" ht="15.75" customHeight="1" x14ac:dyDescent="0.2">
      <c r="A778" s="114"/>
    </row>
    <row r="779" spans="1:1" ht="15.75" customHeight="1" x14ac:dyDescent="0.2">
      <c r="A779" s="114"/>
    </row>
    <row r="780" spans="1:1" ht="15.75" customHeight="1" x14ac:dyDescent="0.2">
      <c r="A780" s="114"/>
    </row>
    <row r="781" spans="1:1" ht="15.75" customHeight="1" x14ac:dyDescent="0.2">
      <c r="A781" s="114"/>
    </row>
    <row r="782" spans="1:1" ht="15.75" customHeight="1" x14ac:dyDescent="0.2">
      <c r="A782" s="114"/>
    </row>
    <row r="783" spans="1:1" ht="15.75" customHeight="1" x14ac:dyDescent="0.2">
      <c r="A783" s="114"/>
    </row>
    <row r="784" spans="1:1" ht="15.75" customHeight="1" x14ac:dyDescent="0.2">
      <c r="A784" s="114"/>
    </row>
    <row r="785" spans="1:1" ht="15.75" customHeight="1" x14ac:dyDescent="0.2">
      <c r="A785" s="114"/>
    </row>
    <row r="786" spans="1:1" ht="15.75" customHeight="1" x14ac:dyDescent="0.2">
      <c r="A786" s="114"/>
    </row>
    <row r="787" spans="1:1" ht="15.75" customHeight="1" x14ac:dyDescent="0.2">
      <c r="A787" s="114"/>
    </row>
    <row r="788" spans="1:1" ht="15.75" customHeight="1" x14ac:dyDescent="0.2">
      <c r="A788" s="114"/>
    </row>
    <row r="789" spans="1:1" ht="15.75" customHeight="1" x14ac:dyDescent="0.2">
      <c r="A789" s="114"/>
    </row>
    <row r="790" spans="1:1" ht="15.75" customHeight="1" x14ac:dyDescent="0.2">
      <c r="A790" s="114"/>
    </row>
    <row r="791" spans="1:1" ht="15.75" customHeight="1" x14ac:dyDescent="0.2">
      <c r="A791" s="114"/>
    </row>
    <row r="792" spans="1:1" ht="15.75" customHeight="1" x14ac:dyDescent="0.2">
      <c r="A792" s="114"/>
    </row>
    <row r="793" spans="1:1" ht="15.75" customHeight="1" x14ac:dyDescent="0.2">
      <c r="A793" s="114"/>
    </row>
    <row r="794" spans="1:1" ht="15.75" customHeight="1" x14ac:dyDescent="0.2">
      <c r="A794" s="114"/>
    </row>
    <row r="795" spans="1:1" ht="15.75" customHeight="1" x14ac:dyDescent="0.2">
      <c r="A795" s="114"/>
    </row>
    <row r="796" spans="1:1" ht="15.75" customHeight="1" x14ac:dyDescent="0.2">
      <c r="A796" s="114"/>
    </row>
    <row r="797" spans="1:1" ht="15.75" customHeight="1" x14ac:dyDescent="0.2">
      <c r="A797" s="114"/>
    </row>
    <row r="798" spans="1:1" ht="15.75" customHeight="1" x14ac:dyDescent="0.2">
      <c r="A798" s="114"/>
    </row>
    <row r="799" spans="1:1" ht="15.75" customHeight="1" x14ac:dyDescent="0.2">
      <c r="A799" s="114"/>
    </row>
    <row r="800" spans="1:1" ht="15.75" customHeight="1" x14ac:dyDescent="0.2">
      <c r="A800" s="114"/>
    </row>
    <row r="801" spans="1:1" ht="15.75" customHeight="1" x14ac:dyDescent="0.2">
      <c r="A801" s="114"/>
    </row>
    <row r="802" spans="1:1" ht="15.75" customHeight="1" x14ac:dyDescent="0.2">
      <c r="A802" s="114"/>
    </row>
    <row r="803" spans="1:1" ht="15.75" customHeight="1" x14ac:dyDescent="0.2">
      <c r="A803" s="114"/>
    </row>
    <row r="804" spans="1:1" ht="15.75" customHeight="1" x14ac:dyDescent="0.2">
      <c r="A804" s="114"/>
    </row>
    <row r="805" spans="1:1" ht="15.75" customHeight="1" x14ac:dyDescent="0.2">
      <c r="A805" s="114"/>
    </row>
    <row r="806" spans="1:1" ht="15.75" customHeight="1" x14ac:dyDescent="0.2">
      <c r="A806" s="114"/>
    </row>
    <row r="807" spans="1:1" ht="15.75" customHeight="1" x14ac:dyDescent="0.2">
      <c r="A807" s="114"/>
    </row>
    <row r="808" spans="1:1" ht="15.75" customHeight="1" x14ac:dyDescent="0.2">
      <c r="A808" s="114"/>
    </row>
    <row r="809" spans="1:1" ht="15.75" customHeight="1" x14ac:dyDescent="0.2">
      <c r="A809" s="114"/>
    </row>
    <row r="810" spans="1:1" ht="15.75" customHeight="1" x14ac:dyDescent="0.2">
      <c r="A810" s="114"/>
    </row>
    <row r="811" spans="1:1" ht="15.75" customHeight="1" x14ac:dyDescent="0.2">
      <c r="A811" s="114"/>
    </row>
    <row r="812" spans="1:1" ht="15.75" customHeight="1" x14ac:dyDescent="0.2">
      <c r="A812" s="114"/>
    </row>
    <row r="813" spans="1:1" ht="15.75" customHeight="1" x14ac:dyDescent="0.2">
      <c r="A813" s="114"/>
    </row>
    <row r="814" spans="1:1" ht="15.75" customHeight="1" x14ac:dyDescent="0.2">
      <c r="A814" s="114"/>
    </row>
    <row r="815" spans="1:1" ht="15.75" customHeight="1" x14ac:dyDescent="0.2">
      <c r="A815" s="114"/>
    </row>
    <row r="816" spans="1:1" ht="15.75" customHeight="1" x14ac:dyDescent="0.2">
      <c r="A816" s="114"/>
    </row>
    <row r="817" spans="1:1" ht="15.75" customHeight="1" x14ac:dyDescent="0.2">
      <c r="A817" s="114"/>
    </row>
    <row r="818" spans="1:1" ht="15.75" customHeight="1" x14ac:dyDescent="0.2">
      <c r="A818" s="114"/>
    </row>
    <row r="819" spans="1:1" ht="15.75" customHeight="1" x14ac:dyDescent="0.2">
      <c r="A819" s="114"/>
    </row>
    <row r="820" spans="1:1" ht="15.75" customHeight="1" x14ac:dyDescent="0.2">
      <c r="A820" s="114"/>
    </row>
    <row r="821" spans="1:1" ht="15.75" customHeight="1" x14ac:dyDescent="0.2">
      <c r="A821" s="114"/>
    </row>
    <row r="822" spans="1:1" ht="15.75" customHeight="1" x14ac:dyDescent="0.2">
      <c r="A822" s="114"/>
    </row>
    <row r="823" spans="1:1" ht="15.75" customHeight="1" x14ac:dyDescent="0.2">
      <c r="A823" s="114"/>
    </row>
    <row r="824" spans="1:1" ht="15.75" customHeight="1" x14ac:dyDescent="0.2">
      <c r="A824" s="114"/>
    </row>
    <row r="825" spans="1:1" ht="15.75" customHeight="1" x14ac:dyDescent="0.2">
      <c r="A825" s="114"/>
    </row>
    <row r="826" spans="1:1" ht="15.75" customHeight="1" x14ac:dyDescent="0.2">
      <c r="A826" s="114"/>
    </row>
    <row r="827" spans="1:1" ht="15.75" customHeight="1" x14ac:dyDescent="0.2">
      <c r="A827" s="114"/>
    </row>
    <row r="828" spans="1:1" ht="15.75" customHeight="1" x14ac:dyDescent="0.2">
      <c r="A828" s="114"/>
    </row>
    <row r="829" spans="1:1" ht="15.75" customHeight="1" x14ac:dyDescent="0.2">
      <c r="A829" s="114"/>
    </row>
    <row r="830" spans="1:1" ht="15.75" customHeight="1" x14ac:dyDescent="0.2">
      <c r="A830" s="114"/>
    </row>
    <row r="831" spans="1:1" ht="15.75" customHeight="1" x14ac:dyDescent="0.2">
      <c r="A831" s="114"/>
    </row>
    <row r="832" spans="1:1" ht="15.75" customHeight="1" x14ac:dyDescent="0.2">
      <c r="A832" s="114"/>
    </row>
    <row r="833" spans="1:1" ht="15.75" customHeight="1" x14ac:dyDescent="0.2">
      <c r="A833" s="114"/>
    </row>
    <row r="834" spans="1:1" ht="15.75" customHeight="1" x14ac:dyDescent="0.2">
      <c r="A834" s="114"/>
    </row>
    <row r="835" spans="1:1" ht="15.75" customHeight="1" x14ac:dyDescent="0.2">
      <c r="A835" s="114"/>
    </row>
    <row r="836" spans="1:1" ht="15.75" customHeight="1" x14ac:dyDescent="0.2">
      <c r="A836" s="114"/>
    </row>
    <row r="837" spans="1:1" ht="15.75" customHeight="1" x14ac:dyDescent="0.2">
      <c r="A837" s="114"/>
    </row>
    <row r="838" spans="1:1" ht="15.75" customHeight="1" x14ac:dyDescent="0.2">
      <c r="A838" s="114"/>
    </row>
    <row r="839" spans="1:1" ht="15.75" customHeight="1" x14ac:dyDescent="0.2">
      <c r="A839" s="114"/>
    </row>
    <row r="840" spans="1:1" ht="15.75" customHeight="1" x14ac:dyDescent="0.2">
      <c r="A840" s="114"/>
    </row>
    <row r="841" spans="1:1" ht="15.75" customHeight="1" x14ac:dyDescent="0.2">
      <c r="A841" s="114"/>
    </row>
    <row r="842" spans="1:1" ht="15.75" customHeight="1" x14ac:dyDescent="0.2">
      <c r="A842" s="114"/>
    </row>
    <row r="843" spans="1:1" ht="15.75" customHeight="1" x14ac:dyDescent="0.2">
      <c r="A843" s="114"/>
    </row>
    <row r="844" spans="1:1" ht="15.75" customHeight="1" x14ac:dyDescent="0.2">
      <c r="A844" s="114"/>
    </row>
    <row r="845" spans="1:1" ht="15.75" customHeight="1" x14ac:dyDescent="0.2">
      <c r="A845" s="114"/>
    </row>
    <row r="846" spans="1:1" ht="15.75" customHeight="1" x14ac:dyDescent="0.2">
      <c r="A846" s="114"/>
    </row>
    <row r="847" spans="1:1" ht="15.75" customHeight="1" x14ac:dyDescent="0.2">
      <c r="A847" s="114"/>
    </row>
    <row r="848" spans="1:1" ht="15.75" customHeight="1" x14ac:dyDescent="0.2">
      <c r="A848" s="114"/>
    </row>
    <row r="849" spans="1:1" ht="15.75" customHeight="1" x14ac:dyDescent="0.2">
      <c r="A849" s="114"/>
    </row>
    <row r="850" spans="1:1" ht="15.75" customHeight="1" x14ac:dyDescent="0.2">
      <c r="A850" s="114"/>
    </row>
    <row r="851" spans="1:1" ht="15.75" customHeight="1" x14ac:dyDescent="0.2">
      <c r="A851" s="114"/>
    </row>
    <row r="852" spans="1:1" ht="15.75" customHeight="1" x14ac:dyDescent="0.2">
      <c r="A852" s="114"/>
    </row>
    <row r="853" spans="1:1" ht="15.75" customHeight="1" x14ac:dyDescent="0.2">
      <c r="A853" s="114"/>
    </row>
    <row r="854" spans="1:1" ht="15.75" customHeight="1" x14ac:dyDescent="0.2">
      <c r="A854" s="114"/>
    </row>
    <row r="855" spans="1:1" ht="15.75" customHeight="1" x14ac:dyDescent="0.2">
      <c r="A855" s="114"/>
    </row>
    <row r="856" spans="1:1" ht="15.75" customHeight="1" x14ac:dyDescent="0.2">
      <c r="A856" s="114"/>
    </row>
    <row r="857" spans="1:1" ht="15.75" customHeight="1" x14ac:dyDescent="0.2">
      <c r="A857" s="114"/>
    </row>
    <row r="858" spans="1:1" ht="15.75" customHeight="1" x14ac:dyDescent="0.2">
      <c r="A858" s="114"/>
    </row>
    <row r="859" spans="1:1" ht="15.75" customHeight="1" x14ac:dyDescent="0.2">
      <c r="A859" s="114"/>
    </row>
    <row r="860" spans="1:1" ht="15.75" customHeight="1" x14ac:dyDescent="0.2">
      <c r="A860" s="114"/>
    </row>
    <row r="861" spans="1:1" ht="15.75" customHeight="1" x14ac:dyDescent="0.2">
      <c r="A861" s="114"/>
    </row>
    <row r="862" spans="1:1" ht="15.75" customHeight="1" x14ac:dyDescent="0.2">
      <c r="A862" s="114"/>
    </row>
    <row r="863" spans="1:1" ht="15.75" customHeight="1" x14ac:dyDescent="0.2">
      <c r="A863" s="114"/>
    </row>
    <row r="864" spans="1:1" ht="15.75" customHeight="1" x14ac:dyDescent="0.2">
      <c r="A864" s="114"/>
    </row>
    <row r="865" spans="1:1" ht="15.75" customHeight="1" x14ac:dyDescent="0.2">
      <c r="A865" s="114"/>
    </row>
    <row r="866" spans="1:1" ht="15.75" customHeight="1" x14ac:dyDescent="0.2">
      <c r="A866" s="114"/>
    </row>
    <row r="867" spans="1:1" ht="15.75" customHeight="1" x14ac:dyDescent="0.2">
      <c r="A867" s="114"/>
    </row>
    <row r="868" spans="1:1" ht="15.75" customHeight="1" x14ac:dyDescent="0.2">
      <c r="A868" s="114"/>
    </row>
    <row r="869" spans="1:1" ht="15.75" customHeight="1" x14ac:dyDescent="0.2">
      <c r="A869" s="114"/>
    </row>
    <row r="870" spans="1:1" ht="15.75" customHeight="1" x14ac:dyDescent="0.2">
      <c r="A870" s="114"/>
    </row>
    <row r="871" spans="1:1" ht="15.75" customHeight="1" x14ac:dyDescent="0.2">
      <c r="A871" s="114"/>
    </row>
    <row r="872" spans="1:1" ht="15.75" customHeight="1" x14ac:dyDescent="0.2">
      <c r="A872" s="114"/>
    </row>
    <row r="873" spans="1:1" ht="15.75" customHeight="1" x14ac:dyDescent="0.2">
      <c r="A873" s="114"/>
    </row>
    <row r="874" spans="1:1" ht="15.75" customHeight="1" x14ac:dyDescent="0.2">
      <c r="A874" s="114"/>
    </row>
    <row r="875" spans="1:1" ht="15.75" customHeight="1" x14ac:dyDescent="0.2">
      <c r="A875" s="114"/>
    </row>
    <row r="876" spans="1:1" ht="15.75" customHeight="1" x14ac:dyDescent="0.2">
      <c r="A876" s="114"/>
    </row>
    <row r="877" spans="1:1" ht="15.75" customHeight="1" x14ac:dyDescent="0.2">
      <c r="A877" s="114"/>
    </row>
    <row r="878" spans="1:1" ht="15.75" customHeight="1" x14ac:dyDescent="0.2">
      <c r="A878" s="114"/>
    </row>
    <row r="879" spans="1:1" ht="15.75" customHeight="1" x14ac:dyDescent="0.2">
      <c r="A879" s="114"/>
    </row>
    <row r="880" spans="1:1" ht="15.75" customHeight="1" x14ac:dyDescent="0.2">
      <c r="A880" s="114"/>
    </row>
    <row r="881" spans="1:1" ht="15.75" customHeight="1" x14ac:dyDescent="0.2">
      <c r="A881" s="114"/>
    </row>
    <row r="882" spans="1:1" ht="15.75" customHeight="1" x14ac:dyDescent="0.2">
      <c r="A882" s="114"/>
    </row>
    <row r="883" spans="1:1" ht="15.75" customHeight="1" x14ac:dyDescent="0.2">
      <c r="A883" s="114"/>
    </row>
    <row r="884" spans="1:1" ht="15.75" customHeight="1" x14ac:dyDescent="0.2">
      <c r="A884" s="114"/>
    </row>
    <row r="885" spans="1:1" ht="15.75" customHeight="1" x14ac:dyDescent="0.2">
      <c r="A885" s="114"/>
    </row>
    <row r="886" spans="1:1" ht="15.75" customHeight="1" x14ac:dyDescent="0.2">
      <c r="A886" s="114"/>
    </row>
    <row r="887" spans="1:1" ht="15.75" customHeight="1" x14ac:dyDescent="0.2">
      <c r="A887" s="114"/>
    </row>
    <row r="888" spans="1:1" ht="15.75" customHeight="1" x14ac:dyDescent="0.2">
      <c r="A888" s="114"/>
    </row>
    <row r="889" spans="1:1" ht="15.75" customHeight="1" x14ac:dyDescent="0.2">
      <c r="A889" s="114"/>
    </row>
    <row r="890" spans="1:1" ht="15.75" customHeight="1" x14ac:dyDescent="0.2">
      <c r="A890" s="114"/>
    </row>
    <row r="891" spans="1:1" ht="15.75" customHeight="1" x14ac:dyDescent="0.2">
      <c r="A891" s="114"/>
    </row>
    <row r="892" spans="1:1" ht="15.75" customHeight="1" x14ac:dyDescent="0.2">
      <c r="A892" s="114"/>
    </row>
    <row r="893" spans="1:1" ht="15.75" customHeight="1" x14ac:dyDescent="0.2">
      <c r="A893" s="114"/>
    </row>
    <row r="894" spans="1:1" ht="15.75" customHeight="1" x14ac:dyDescent="0.2">
      <c r="A894" s="114"/>
    </row>
    <row r="895" spans="1:1" ht="15.75" customHeight="1" x14ac:dyDescent="0.2">
      <c r="A895" s="114"/>
    </row>
    <row r="896" spans="1:1" ht="15.75" customHeight="1" x14ac:dyDescent="0.2">
      <c r="A896" s="114"/>
    </row>
    <row r="897" spans="1:1" ht="15.75" customHeight="1" x14ac:dyDescent="0.2">
      <c r="A897" s="114"/>
    </row>
    <row r="898" spans="1:1" ht="15.75" customHeight="1" x14ac:dyDescent="0.2">
      <c r="A898" s="114"/>
    </row>
    <row r="899" spans="1:1" ht="15.75" customHeight="1" x14ac:dyDescent="0.2">
      <c r="A899" s="114"/>
    </row>
    <row r="900" spans="1:1" ht="15.75" customHeight="1" x14ac:dyDescent="0.2">
      <c r="A900" s="114"/>
    </row>
    <row r="901" spans="1:1" ht="15.75" customHeight="1" x14ac:dyDescent="0.2">
      <c r="A901" s="114"/>
    </row>
    <row r="902" spans="1:1" ht="15.75" customHeight="1" x14ac:dyDescent="0.2">
      <c r="A902" s="114"/>
    </row>
    <row r="903" spans="1:1" ht="15.75" customHeight="1" x14ac:dyDescent="0.2">
      <c r="A903" s="114"/>
    </row>
    <row r="904" spans="1:1" ht="15.75" customHeight="1" x14ac:dyDescent="0.2">
      <c r="A904" s="114"/>
    </row>
    <row r="905" spans="1:1" ht="15.75" customHeight="1" x14ac:dyDescent="0.2">
      <c r="A905" s="114"/>
    </row>
    <row r="906" spans="1:1" ht="15.75" customHeight="1" x14ac:dyDescent="0.2">
      <c r="A906" s="114"/>
    </row>
    <row r="907" spans="1:1" ht="15.75" customHeight="1" x14ac:dyDescent="0.2">
      <c r="A907" s="114"/>
    </row>
    <row r="908" spans="1:1" ht="15.75" customHeight="1" x14ac:dyDescent="0.2">
      <c r="A908" s="114"/>
    </row>
    <row r="909" spans="1:1" ht="15.75" customHeight="1" x14ac:dyDescent="0.2">
      <c r="A909" s="114"/>
    </row>
    <row r="910" spans="1:1" ht="15.75" customHeight="1" x14ac:dyDescent="0.2">
      <c r="A910" s="114"/>
    </row>
    <row r="911" spans="1:1" ht="15.75" customHeight="1" x14ac:dyDescent="0.2">
      <c r="A911" s="114"/>
    </row>
    <row r="912" spans="1:1" ht="15.75" customHeight="1" x14ac:dyDescent="0.2">
      <c r="A912" s="114"/>
    </row>
    <row r="913" spans="1:1" ht="15.75" customHeight="1" x14ac:dyDescent="0.2">
      <c r="A913" s="114"/>
    </row>
    <row r="914" spans="1:1" ht="15.75" customHeight="1" x14ac:dyDescent="0.2">
      <c r="A914" s="114"/>
    </row>
    <row r="915" spans="1:1" ht="15.75" customHeight="1" x14ac:dyDescent="0.2">
      <c r="A915" s="114"/>
    </row>
    <row r="916" spans="1:1" ht="15.75" customHeight="1" x14ac:dyDescent="0.2">
      <c r="A916" s="114"/>
    </row>
    <row r="917" spans="1:1" ht="15.75" customHeight="1" x14ac:dyDescent="0.2">
      <c r="A917" s="114"/>
    </row>
    <row r="918" spans="1:1" ht="15.75" customHeight="1" x14ac:dyDescent="0.2">
      <c r="A918" s="114"/>
    </row>
    <row r="919" spans="1:1" ht="15.75" customHeight="1" x14ac:dyDescent="0.2">
      <c r="A919" s="114"/>
    </row>
    <row r="920" spans="1:1" ht="15.75" customHeight="1" x14ac:dyDescent="0.2">
      <c r="A920" s="114"/>
    </row>
    <row r="921" spans="1:1" ht="15.75" customHeight="1" x14ac:dyDescent="0.2">
      <c r="A921" s="114"/>
    </row>
    <row r="922" spans="1:1" ht="15.75" customHeight="1" x14ac:dyDescent="0.2">
      <c r="A922" s="114"/>
    </row>
    <row r="923" spans="1:1" ht="15.75" customHeight="1" x14ac:dyDescent="0.2">
      <c r="A923" s="114"/>
    </row>
    <row r="924" spans="1:1" ht="15.75" customHeight="1" x14ac:dyDescent="0.2">
      <c r="A924" s="114"/>
    </row>
    <row r="925" spans="1:1" ht="15.75" customHeight="1" x14ac:dyDescent="0.2">
      <c r="A925" s="114"/>
    </row>
    <row r="926" spans="1:1" ht="15.75" customHeight="1" x14ac:dyDescent="0.2">
      <c r="A926" s="114"/>
    </row>
    <row r="927" spans="1:1" ht="15.75" customHeight="1" x14ac:dyDescent="0.2">
      <c r="A927" s="114"/>
    </row>
    <row r="928" spans="1:1" ht="15.75" customHeight="1" x14ac:dyDescent="0.2">
      <c r="A928" s="114"/>
    </row>
    <row r="929" spans="1:1" ht="15.75" customHeight="1" x14ac:dyDescent="0.2">
      <c r="A929" s="114"/>
    </row>
    <row r="930" spans="1:1" ht="15.75" customHeight="1" x14ac:dyDescent="0.2">
      <c r="A930" s="114"/>
    </row>
    <row r="931" spans="1:1" ht="15.75" customHeight="1" x14ac:dyDescent="0.2">
      <c r="A931" s="114"/>
    </row>
    <row r="932" spans="1:1" ht="15.75" customHeight="1" x14ac:dyDescent="0.2">
      <c r="A932" s="114"/>
    </row>
    <row r="933" spans="1:1" ht="15.75" customHeight="1" x14ac:dyDescent="0.2">
      <c r="A933" s="114"/>
    </row>
    <row r="934" spans="1:1" ht="15.75" customHeight="1" x14ac:dyDescent="0.2">
      <c r="A934" s="114"/>
    </row>
    <row r="935" spans="1:1" ht="15.75" customHeight="1" x14ac:dyDescent="0.2">
      <c r="A935" s="114"/>
    </row>
    <row r="936" spans="1:1" ht="15.75" customHeight="1" x14ac:dyDescent="0.2">
      <c r="A936" s="114"/>
    </row>
    <row r="937" spans="1:1" ht="15.75" customHeight="1" x14ac:dyDescent="0.2">
      <c r="A937" s="114"/>
    </row>
    <row r="938" spans="1:1" ht="15.75" customHeight="1" x14ac:dyDescent="0.2">
      <c r="A938" s="114"/>
    </row>
    <row r="939" spans="1:1" ht="15.75" customHeight="1" x14ac:dyDescent="0.2">
      <c r="A939" s="114"/>
    </row>
    <row r="940" spans="1:1" ht="15.75" customHeight="1" x14ac:dyDescent="0.2">
      <c r="A940" s="114"/>
    </row>
    <row r="941" spans="1:1" ht="15.75" customHeight="1" x14ac:dyDescent="0.2">
      <c r="A941" s="114"/>
    </row>
    <row r="942" spans="1:1" ht="15.75" customHeight="1" x14ac:dyDescent="0.2">
      <c r="A942" s="114"/>
    </row>
    <row r="943" spans="1:1" ht="15.75" customHeight="1" x14ac:dyDescent="0.2">
      <c r="A943" s="114"/>
    </row>
    <row r="944" spans="1:1" ht="15.75" customHeight="1" x14ac:dyDescent="0.2">
      <c r="A944" s="114"/>
    </row>
    <row r="945" spans="1:1" ht="15.75" customHeight="1" x14ac:dyDescent="0.2">
      <c r="A945" s="114"/>
    </row>
    <row r="946" spans="1:1" ht="15.75" customHeight="1" x14ac:dyDescent="0.2">
      <c r="A946" s="114"/>
    </row>
    <row r="947" spans="1:1" ht="15.75" customHeight="1" x14ac:dyDescent="0.2">
      <c r="A947" s="114"/>
    </row>
    <row r="948" spans="1:1" ht="15.75" customHeight="1" x14ac:dyDescent="0.2">
      <c r="A948" s="114"/>
    </row>
    <row r="949" spans="1:1" ht="15.75" customHeight="1" x14ac:dyDescent="0.2">
      <c r="A949" s="114"/>
    </row>
    <row r="950" spans="1:1" ht="15.75" customHeight="1" x14ac:dyDescent="0.2">
      <c r="A950" s="114"/>
    </row>
    <row r="951" spans="1:1" ht="15.75" customHeight="1" x14ac:dyDescent="0.2">
      <c r="A951" s="114"/>
    </row>
    <row r="952" spans="1:1" ht="15.75" customHeight="1" x14ac:dyDescent="0.2">
      <c r="A952" s="114"/>
    </row>
    <row r="953" spans="1:1" ht="15.75" customHeight="1" x14ac:dyDescent="0.2">
      <c r="A953" s="114"/>
    </row>
    <row r="954" spans="1:1" ht="15.75" customHeight="1" x14ac:dyDescent="0.2">
      <c r="A954" s="114"/>
    </row>
    <row r="955" spans="1:1" ht="15.75" customHeight="1" x14ac:dyDescent="0.2">
      <c r="A955" s="114"/>
    </row>
    <row r="956" spans="1:1" ht="15.75" customHeight="1" x14ac:dyDescent="0.2">
      <c r="A956" s="114"/>
    </row>
    <row r="957" spans="1:1" ht="15.75" customHeight="1" x14ac:dyDescent="0.2">
      <c r="A957" s="114"/>
    </row>
    <row r="958" spans="1:1" ht="15.75" customHeight="1" x14ac:dyDescent="0.2">
      <c r="A958" s="114"/>
    </row>
    <row r="959" spans="1:1" ht="15.75" customHeight="1" x14ac:dyDescent="0.2">
      <c r="A959" s="114"/>
    </row>
    <row r="960" spans="1:1" ht="15.75" customHeight="1" x14ac:dyDescent="0.2">
      <c r="A960" s="114"/>
    </row>
    <row r="961" spans="1:1" ht="15.75" customHeight="1" x14ac:dyDescent="0.2">
      <c r="A961" s="114"/>
    </row>
    <row r="962" spans="1:1" ht="15.75" customHeight="1" x14ac:dyDescent="0.2">
      <c r="A962" s="114"/>
    </row>
    <row r="963" spans="1:1" ht="15.75" customHeight="1" x14ac:dyDescent="0.2">
      <c r="A963" s="114"/>
    </row>
    <row r="964" spans="1:1" ht="15.75" customHeight="1" x14ac:dyDescent="0.2">
      <c r="A964" s="114"/>
    </row>
    <row r="965" spans="1:1" ht="15.75" customHeight="1" x14ac:dyDescent="0.2">
      <c r="A965" s="114"/>
    </row>
    <row r="966" spans="1:1" ht="15.75" customHeight="1" x14ac:dyDescent="0.2">
      <c r="A966" s="114"/>
    </row>
    <row r="967" spans="1:1" ht="15.75" customHeight="1" x14ac:dyDescent="0.2">
      <c r="A967" s="114"/>
    </row>
    <row r="968" spans="1:1" ht="15.75" customHeight="1" x14ac:dyDescent="0.2">
      <c r="A968" s="114"/>
    </row>
    <row r="969" spans="1:1" ht="15.75" customHeight="1" x14ac:dyDescent="0.2">
      <c r="A969" s="114"/>
    </row>
    <row r="970" spans="1:1" ht="15.75" customHeight="1" x14ac:dyDescent="0.2">
      <c r="A970" s="114"/>
    </row>
    <row r="971" spans="1:1" ht="15.75" customHeight="1" x14ac:dyDescent="0.2">
      <c r="A971" s="114"/>
    </row>
    <row r="972" spans="1:1" ht="15.75" customHeight="1" x14ac:dyDescent="0.2">
      <c r="A972" s="114"/>
    </row>
    <row r="973" spans="1:1" ht="15.75" customHeight="1" x14ac:dyDescent="0.2">
      <c r="A973" s="114"/>
    </row>
    <row r="974" spans="1:1" ht="15.75" customHeight="1" x14ac:dyDescent="0.2">
      <c r="A974" s="114"/>
    </row>
  </sheetData>
  <mergeCells count="16">
    <mergeCell ref="D67:F67"/>
    <mergeCell ref="A62:F62"/>
    <mergeCell ref="D63:F63"/>
    <mergeCell ref="D64:F64"/>
    <mergeCell ref="D65:F65"/>
    <mergeCell ref="D66:F66"/>
    <mergeCell ref="A7:F7"/>
    <mergeCell ref="C9:D9"/>
    <mergeCell ref="A6:F6"/>
    <mergeCell ref="A53:F53"/>
    <mergeCell ref="C54:D54"/>
    <mergeCell ref="C18:D18"/>
    <mergeCell ref="C26:D26"/>
    <mergeCell ref="C33:D33"/>
    <mergeCell ref="C40:D40"/>
    <mergeCell ref="C47:D47"/>
  </mergeCells>
  <pageMargins left="0.23622047244094491" right="0.23622047244094491" top="0.74803149606299213" bottom="0.74803149606299213" header="0" footer="0"/>
  <pageSetup paperSize="9" scale="68" fitToHeight="0" orientation="portrait" r:id="rId1"/>
  <headerFooter>
    <oddFooter>&amp;R&amp;P de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D628-774F-4DA6-8935-32C13A6D1820}">
  <dimension ref="A1:AG42"/>
  <sheetViews>
    <sheetView tabSelected="1" view="pageBreakPreview" topLeftCell="A5" zoomScale="85" zoomScaleNormal="100" zoomScaleSheetLayoutView="85" workbookViewId="0">
      <selection activeCell="AD27" sqref="AD27"/>
    </sheetView>
  </sheetViews>
  <sheetFormatPr defaultColWidth="7.75" defaultRowHeight="15" customHeight="1" x14ac:dyDescent="0.3"/>
  <cols>
    <col min="1" max="1" width="4.625" style="297" customWidth="1"/>
    <col min="2" max="6" width="6.75" style="297" customWidth="1"/>
    <col min="7" max="7" width="15.75" style="297" bestFit="1" customWidth="1"/>
    <col min="8" max="8" width="6.75" style="297" customWidth="1"/>
    <col min="9" max="9" width="11.25" style="297" bestFit="1" customWidth="1"/>
    <col min="10" max="10" width="6" style="297" bestFit="1" customWidth="1"/>
    <col min="11" max="11" width="12.25" style="297" bestFit="1" customWidth="1"/>
    <col min="12" max="12" width="6" style="297" bestFit="1" customWidth="1"/>
    <col min="13" max="13" width="12.25" style="297" bestFit="1" customWidth="1"/>
    <col min="14" max="14" width="6" style="297" bestFit="1" customWidth="1"/>
    <col min="15" max="15" width="12.25" style="297" bestFit="1" customWidth="1"/>
    <col min="16" max="16" width="6" style="297" bestFit="1" customWidth="1"/>
    <col min="17" max="17" width="12.25" style="297" bestFit="1" customWidth="1"/>
    <col min="18" max="18" width="6" style="297" bestFit="1" customWidth="1"/>
    <col min="19" max="19" width="12.25" style="297" bestFit="1" customWidth="1"/>
    <col min="20" max="20" width="6" style="297" bestFit="1" customWidth="1"/>
    <col min="21" max="21" width="12.25" style="297" bestFit="1" customWidth="1"/>
    <col min="22" max="22" width="6" style="297" bestFit="1" customWidth="1"/>
    <col min="23" max="23" width="12.25" style="297" bestFit="1" customWidth="1"/>
    <col min="24" max="24" width="6" style="297" bestFit="1" customWidth="1"/>
    <col min="25" max="25" width="12.25" style="297" bestFit="1" customWidth="1"/>
    <col min="26" max="26" width="6" style="297" bestFit="1" customWidth="1"/>
    <col min="27" max="27" width="12.25" style="297" bestFit="1" customWidth="1"/>
    <col min="28" max="28" width="6" style="297" bestFit="1" customWidth="1"/>
    <col min="29" max="29" width="12.25" style="297" bestFit="1" customWidth="1"/>
    <col min="30" max="30" width="6" style="297" bestFit="1" customWidth="1"/>
    <col min="31" max="31" width="12.25" style="297" bestFit="1" customWidth="1"/>
    <col min="32" max="32" width="6" style="297" bestFit="1" customWidth="1"/>
    <col min="33" max="258" width="7.75" style="297"/>
    <col min="259" max="259" width="4.625" style="297" customWidth="1"/>
    <col min="260" max="264" width="6.75" style="297" customWidth="1"/>
    <col min="265" max="265" width="15.75" style="297" bestFit="1" customWidth="1"/>
    <col min="266" max="266" width="6.75" style="297" customWidth="1"/>
    <col min="267" max="267" width="11.25" style="297" bestFit="1" customWidth="1"/>
    <col min="268" max="268" width="6" style="297" bestFit="1" customWidth="1"/>
    <col min="269" max="269" width="12.25" style="297" bestFit="1" customWidth="1"/>
    <col min="270" max="270" width="6" style="297" bestFit="1" customWidth="1"/>
    <col min="271" max="271" width="12.25" style="297" bestFit="1" customWidth="1"/>
    <col min="272" max="272" width="6" style="297" bestFit="1" customWidth="1"/>
    <col min="273" max="273" width="12.25" style="297" bestFit="1" customWidth="1"/>
    <col min="274" max="274" width="6" style="297" bestFit="1" customWidth="1"/>
    <col min="275" max="275" width="12.25" style="297" bestFit="1" customWidth="1"/>
    <col min="276" max="276" width="6" style="297" bestFit="1" customWidth="1"/>
    <col min="277" max="277" width="12.25" style="297" bestFit="1" customWidth="1"/>
    <col min="278" max="278" width="6" style="297" bestFit="1" customWidth="1"/>
    <col min="279" max="514" width="7.75" style="297"/>
    <col min="515" max="515" width="4.625" style="297" customWidth="1"/>
    <col min="516" max="520" width="6.75" style="297" customWidth="1"/>
    <col min="521" max="521" width="15.75" style="297" bestFit="1" customWidth="1"/>
    <col min="522" max="522" width="6.75" style="297" customWidth="1"/>
    <col min="523" max="523" width="11.25" style="297" bestFit="1" customWidth="1"/>
    <col min="524" max="524" width="6" style="297" bestFit="1" customWidth="1"/>
    <col min="525" max="525" width="12.25" style="297" bestFit="1" customWidth="1"/>
    <col min="526" max="526" width="6" style="297" bestFit="1" customWidth="1"/>
    <col min="527" max="527" width="12.25" style="297" bestFit="1" customWidth="1"/>
    <col min="528" max="528" width="6" style="297" bestFit="1" customWidth="1"/>
    <col min="529" max="529" width="12.25" style="297" bestFit="1" customWidth="1"/>
    <col min="530" max="530" width="6" style="297" bestFit="1" customWidth="1"/>
    <col min="531" max="531" width="12.25" style="297" bestFit="1" customWidth="1"/>
    <col min="532" max="532" width="6" style="297" bestFit="1" customWidth="1"/>
    <col min="533" max="533" width="12.25" style="297" bestFit="1" customWidth="1"/>
    <col min="534" max="534" width="6" style="297" bestFit="1" customWidth="1"/>
    <col min="535" max="770" width="7.75" style="297"/>
    <col min="771" max="771" width="4.625" style="297" customWidth="1"/>
    <col min="772" max="776" width="6.75" style="297" customWidth="1"/>
    <col min="777" max="777" width="15.75" style="297" bestFit="1" customWidth="1"/>
    <col min="778" max="778" width="6.75" style="297" customWidth="1"/>
    <col min="779" max="779" width="11.25" style="297" bestFit="1" customWidth="1"/>
    <col min="780" max="780" width="6" style="297" bestFit="1" customWidth="1"/>
    <col min="781" max="781" width="12.25" style="297" bestFit="1" customWidth="1"/>
    <col min="782" max="782" width="6" style="297" bestFit="1" customWidth="1"/>
    <col min="783" max="783" width="12.25" style="297" bestFit="1" customWidth="1"/>
    <col min="784" max="784" width="6" style="297" bestFit="1" customWidth="1"/>
    <col min="785" max="785" width="12.25" style="297" bestFit="1" customWidth="1"/>
    <col min="786" max="786" width="6" style="297" bestFit="1" customWidth="1"/>
    <col min="787" max="787" width="12.25" style="297" bestFit="1" customWidth="1"/>
    <col min="788" max="788" width="6" style="297" bestFit="1" customWidth="1"/>
    <col min="789" max="789" width="12.25" style="297" bestFit="1" customWidth="1"/>
    <col min="790" max="790" width="6" style="297" bestFit="1" customWidth="1"/>
    <col min="791" max="1026" width="7.75" style="297"/>
    <col min="1027" max="1027" width="4.625" style="297" customWidth="1"/>
    <col min="1028" max="1032" width="6.75" style="297" customWidth="1"/>
    <col min="1033" max="1033" width="15.75" style="297" bestFit="1" customWidth="1"/>
    <col min="1034" max="1034" width="6.75" style="297" customWidth="1"/>
    <col min="1035" max="1035" width="11.25" style="297" bestFit="1" customWidth="1"/>
    <col min="1036" max="1036" width="6" style="297" bestFit="1" customWidth="1"/>
    <col min="1037" max="1037" width="12.25" style="297" bestFit="1" customWidth="1"/>
    <col min="1038" max="1038" width="6" style="297" bestFit="1" customWidth="1"/>
    <col min="1039" max="1039" width="12.25" style="297" bestFit="1" customWidth="1"/>
    <col min="1040" max="1040" width="6" style="297" bestFit="1" customWidth="1"/>
    <col min="1041" max="1041" width="12.25" style="297" bestFit="1" customWidth="1"/>
    <col min="1042" max="1042" width="6" style="297" bestFit="1" customWidth="1"/>
    <col min="1043" max="1043" width="12.25" style="297" bestFit="1" customWidth="1"/>
    <col min="1044" max="1044" width="6" style="297" bestFit="1" customWidth="1"/>
    <col min="1045" max="1045" width="12.25" style="297" bestFit="1" customWidth="1"/>
    <col min="1046" max="1046" width="6" style="297" bestFit="1" customWidth="1"/>
    <col min="1047" max="1282" width="7.75" style="297"/>
    <col min="1283" max="1283" width="4.625" style="297" customWidth="1"/>
    <col min="1284" max="1288" width="6.75" style="297" customWidth="1"/>
    <col min="1289" max="1289" width="15.75" style="297" bestFit="1" customWidth="1"/>
    <col min="1290" max="1290" width="6.75" style="297" customWidth="1"/>
    <col min="1291" max="1291" width="11.25" style="297" bestFit="1" customWidth="1"/>
    <col min="1292" max="1292" width="6" style="297" bestFit="1" customWidth="1"/>
    <col min="1293" max="1293" width="12.25" style="297" bestFit="1" customWidth="1"/>
    <col min="1294" max="1294" width="6" style="297" bestFit="1" customWidth="1"/>
    <col min="1295" max="1295" width="12.25" style="297" bestFit="1" customWidth="1"/>
    <col min="1296" max="1296" width="6" style="297" bestFit="1" customWidth="1"/>
    <col min="1297" max="1297" width="12.25" style="297" bestFit="1" customWidth="1"/>
    <col min="1298" max="1298" width="6" style="297" bestFit="1" customWidth="1"/>
    <col min="1299" max="1299" width="12.25" style="297" bestFit="1" customWidth="1"/>
    <col min="1300" max="1300" width="6" style="297" bestFit="1" customWidth="1"/>
    <col min="1301" max="1301" width="12.25" style="297" bestFit="1" customWidth="1"/>
    <col min="1302" max="1302" width="6" style="297" bestFit="1" customWidth="1"/>
    <col min="1303" max="1538" width="7.75" style="297"/>
    <col min="1539" max="1539" width="4.625" style="297" customWidth="1"/>
    <col min="1540" max="1544" width="6.75" style="297" customWidth="1"/>
    <col min="1545" max="1545" width="15.75" style="297" bestFit="1" customWidth="1"/>
    <col min="1546" max="1546" width="6.75" style="297" customWidth="1"/>
    <col min="1547" max="1547" width="11.25" style="297" bestFit="1" customWidth="1"/>
    <col min="1548" max="1548" width="6" style="297" bestFit="1" customWidth="1"/>
    <col min="1549" max="1549" width="12.25" style="297" bestFit="1" customWidth="1"/>
    <col min="1550" max="1550" width="6" style="297" bestFit="1" customWidth="1"/>
    <col min="1551" max="1551" width="12.25" style="297" bestFit="1" customWidth="1"/>
    <col min="1552" max="1552" width="6" style="297" bestFit="1" customWidth="1"/>
    <col min="1553" max="1553" width="12.25" style="297" bestFit="1" customWidth="1"/>
    <col min="1554" max="1554" width="6" style="297" bestFit="1" customWidth="1"/>
    <col min="1555" max="1555" width="12.25" style="297" bestFit="1" customWidth="1"/>
    <col min="1556" max="1556" width="6" style="297" bestFit="1" customWidth="1"/>
    <col min="1557" max="1557" width="12.25" style="297" bestFit="1" customWidth="1"/>
    <col min="1558" max="1558" width="6" style="297" bestFit="1" customWidth="1"/>
    <col min="1559" max="1794" width="7.75" style="297"/>
    <col min="1795" max="1795" width="4.625" style="297" customWidth="1"/>
    <col min="1796" max="1800" width="6.75" style="297" customWidth="1"/>
    <col min="1801" max="1801" width="15.75" style="297" bestFit="1" customWidth="1"/>
    <col min="1802" max="1802" width="6.75" style="297" customWidth="1"/>
    <col min="1803" max="1803" width="11.25" style="297" bestFit="1" customWidth="1"/>
    <col min="1804" max="1804" width="6" style="297" bestFit="1" customWidth="1"/>
    <col min="1805" max="1805" width="12.25" style="297" bestFit="1" customWidth="1"/>
    <col min="1806" max="1806" width="6" style="297" bestFit="1" customWidth="1"/>
    <col min="1807" max="1807" width="12.25" style="297" bestFit="1" customWidth="1"/>
    <col min="1808" max="1808" width="6" style="297" bestFit="1" customWidth="1"/>
    <col min="1809" max="1809" width="12.25" style="297" bestFit="1" customWidth="1"/>
    <col min="1810" max="1810" width="6" style="297" bestFit="1" customWidth="1"/>
    <col min="1811" max="1811" width="12.25" style="297" bestFit="1" customWidth="1"/>
    <col min="1812" max="1812" width="6" style="297" bestFit="1" customWidth="1"/>
    <col min="1813" max="1813" width="12.25" style="297" bestFit="1" customWidth="1"/>
    <col min="1814" max="1814" width="6" style="297" bestFit="1" customWidth="1"/>
    <col min="1815" max="2050" width="7.75" style="297"/>
    <col min="2051" max="2051" width="4.625" style="297" customWidth="1"/>
    <col min="2052" max="2056" width="6.75" style="297" customWidth="1"/>
    <col min="2057" max="2057" width="15.75" style="297" bestFit="1" customWidth="1"/>
    <col min="2058" max="2058" width="6.75" style="297" customWidth="1"/>
    <col min="2059" max="2059" width="11.25" style="297" bestFit="1" customWidth="1"/>
    <col min="2060" max="2060" width="6" style="297" bestFit="1" customWidth="1"/>
    <col min="2061" max="2061" width="12.25" style="297" bestFit="1" customWidth="1"/>
    <col min="2062" max="2062" width="6" style="297" bestFit="1" customWidth="1"/>
    <col min="2063" max="2063" width="12.25" style="297" bestFit="1" customWidth="1"/>
    <col min="2064" max="2064" width="6" style="297" bestFit="1" customWidth="1"/>
    <col min="2065" max="2065" width="12.25" style="297" bestFit="1" customWidth="1"/>
    <col min="2066" max="2066" width="6" style="297" bestFit="1" customWidth="1"/>
    <col min="2067" max="2067" width="12.25" style="297" bestFit="1" customWidth="1"/>
    <col min="2068" max="2068" width="6" style="297" bestFit="1" customWidth="1"/>
    <col min="2069" max="2069" width="12.25" style="297" bestFit="1" customWidth="1"/>
    <col min="2070" max="2070" width="6" style="297" bestFit="1" customWidth="1"/>
    <col min="2071" max="2306" width="7.75" style="297"/>
    <col min="2307" max="2307" width="4.625" style="297" customWidth="1"/>
    <col min="2308" max="2312" width="6.75" style="297" customWidth="1"/>
    <col min="2313" max="2313" width="15.75" style="297" bestFit="1" customWidth="1"/>
    <col min="2314" max="2314" width="6.75" style="297" customWidth="1"/>
    <col min="2315" max="2315" width="11.25" style="297" bestFit="1" customWidth="1"/>
    <col min="2316" max="2316" width="6" style="297" bestFit="1" customWidth="1"/>
    <col min="2317" max="2317" width="12.25" style="297" bestFit="1" customWidth="1"/>
    <col min="2318" max="2318" width="6" style="297" bestFit="1" customWidth="1"/>
    <col min="2319" max="2319" width="12.25" style="297" bestFit="1" customWidth="1"/>
    <col min="2320" max="2320" width="6" style="297" bestFit="1" customWidth="1"/>
    <col min="2321" max="2321" width="12.25" style="297" bestFit="1" customWidth="1"/>
    <col min="2322" max="2322" width="6" style="297" bestFit="1" customWidth="1"/>
    <col min="2323" max="2323" width="12.25" style="297" bestFit="1" customWidth="1"/>
    <col min="2324" max="2324" width="6" style="297" bestFit="1" customWidth="1"/>
    <col min="2325" max="2325" width="12.25" style="297" bestFit="1" customWidth="1"/>
    <col min="2326" max="2326" width="6" style="297" bestFit="1" customWidth="1"/>
    <col min="2327" max="2562" width="7.75" style="297"/>
    <col min="2563" max="2563" width="4.625" style="297" customWidth="1"/>
    <col min="2564" max="2568" width="6.75" style="297" customWidth="1"/>
    <col min="2569" max="2569" width="15.75" style="297" bestFit="1" customWidth="1"/>
    <col min="2570" max="2570" width="6.75" style="297" customWidth="1"/>
    <col min="2571" max="2571" width="11.25" style="297" bestFit="1" customWidth="1"/>
    <col min="2572" max="2572" width="6" style="297" bestFit="1" customWidth="1"/>
    <col min="2573" max="2573" width="12.25" style="297" bestFit="1" customWidth="1"/>
    <col min="2574" max="2574" width="6" style="297" bestFit="1" customWidth="1"/>
    <col min="2575" max="2575" width="12.25" style="297" bestFit="1" customWidth="1"/>
    <col min="2576" max="2576" width="6" style="297" bestFit="1" customWidth="1"/>
    <col min="2577" max="2577" width="12.25" style="297" bestFit="1" customWidth="1"/>
    <col min="2578" max="2578" width="6" style="297" bestFit="1" customWidth="1"/>
    <col min="2579" max="2579" width="12.25" style="297" bestFit="1" customWidth="1"/>
    <col min="2580" max="2580" width="6" style="297" bestFit="1" customWidth="1"/>
    <col min="2581" max="2581" width="12.25" style="297" bestFit="1" customWidth="1"/>
    <col min="2582" max="2582" width="6" style="297" bestFit="1" customWidth="1"/>
    <col min="2583" max="2818" width="7.75" style="297"/>
    <col min="2819" max="2819" width="4.625" style="297" customWidth="1"/>
    <col min="2820" max="2824" width="6.75" style="297" customWidth="1"/>
    <col min="2825" max="2825" width="15.75" style="297" bestFit="1" customWidth="1"/>
    <col min="2826" max="2826" width="6.75" style="297" customWidth="1"/>
    <col min="2827" max="2827" width="11.25" style="297" bestFit="1" customWidth="1"/>
    <col min="2828" max="2828" width="6" style="297" bestFit="1" customWidth="1"/>
    <col min="2829" max="2829" width="12.25" style="297" bestFit="1" customWidth="1"/>
    <col min="2830" max="2830" width="6" style="297" bestFit="1" customWidth="1"/>
    <col min="2831" max="2831" width="12.25" style="297" bestFit="1" customWidth="1"/>
    <col min="2832" max="2832" width="6" style="297" bestFit="1" customWidth="1"/>
    <col min="2833" max="2833" width="12.25" style="297" bestFit="1" customWidth="1"/>
    <col min="2834" max="2834" width="6" style="297" bestFit="1" customWidth="1"/>
    <col min="2835" max="2835" width="12.25" style="297" bestFit="1" customWidth="1"/>
    <col min="2836" max="2836" width="6" style="297" bestFit="1" customWidth="1"/>
    <col min="2837" max="2837" width="12.25" style="297" bestFit="1" customWidth="1"/>
    <col min="2838" max="2838" width="6" style="297" bestFit="1" customWidth="1"/>
    <col min="2839" max="3074" width="7.75" style="297"/>
    <col min="3075" max="3075" width="4.625" style="297" customWidth="1"/>
    <col min="3076" max="3080" width="6.75" style="297" customWidth="1"/>
    <col min="3081" max="3081" width="15.75" style="297" bestFit="1" customWidth="1"/>
    <col min="3082" max="3082" width="6.75" style="297" customWidth="1"/>
    <col min="3083" max="3083" width="11.25" style="297" bestFit="1" customWidth="1"/>
    <col min="3084" max="3084" width="6" style="297" bestFit="1" customWidth="1"/>
    <col min="3085" max="3085" width="12.25" style="297" bestFit="1" customWidth="1"/>
    <col min="3086" max="3086" width="6" style="297" bestFit="1" customWidth="1"/>
    <col min="3087" max="3087" width="12.25" style="297" bestFit="1" customWidth="1"/>
    <col min="3088" max="3088" width="6" style="297" bestFit="1" customWidth="1"/>
    <col min="3089" max="3089" width="12.25" style="297" bestFit="1" customWidth="1"/>
    <col min="3090" max="3090" width="6" style="297" bestFit="1" customWidth="1"/>
    <col min="3091" max="3091" width="12.25" style="297" bestFit="1" customWidth="1"/>
    <col min="3092" max="3092" width="6" style="297" bestFit="1" customWidth="1"/>
    <col min="3093" max="3093" width="12.25" style="297" bestFit="1" customWidth="1"/>
    <col min="3094" max="3094" width="6" style="297" bestFit="1" customWidth="1"/>
    <col min="3095" max="3330" width="7.75" style="297"/>
    <col min="3331" max="3331" width="4.625" style="297" customWidth="1"/>
    <col min="3332" max="3336" width="6.75" style="297" customWidth="1"/>
    <col min="3337" max="3337" width="15.75" style="297" bestFit="1" customWidth="1"/>
    <col min="3338" max="3338" width="6.75" style="297" customWidth="1"/>
    <col min="3339" max="3339" width="11.25" style="297" bestFit="1" customWidth="1"/>
    <col min="3340" max="3340" width="6" style="297" bestFit="1" customWidth="1"/>
    <col min="3341" max="3341" width="12.25" style="297" bestFit="1" customWidth="1"/>
    <col min="3342" max="3342" width="6" style="297" bestFit="1" customWidth="1"/>
    <col min="3343" max="3343" width="12.25" style="297" bestFit="1" customWidth="1"/>
    <col min="3344" max="3344" width="6" style="297" bestFit="1" customWidth="1"/>
    <col min="3345" max="3345" width="12.25" style="297" bestFit="1" customWidth="1"/>
    <col min="3346" max="3346" width="6" style="297" bestFit="1" customWidth="1"/>
    <col min="3347" max="3347" width="12.25" style="297" bestFit="1" customWidth="1"/>
    <col min="3348" max="3348" width="6" style="297" bestFit="1" customWidth="1"/>
    <col min="3349" max="3349" width="12.25" style="297" bestFit="1" customWidth="1"/>
    <col min="3350" max="3350" width="6" style="297" bestFit="1" customWidth="1"/>
    <col min="3351" max="3586" width="7.75" style="297"/>
    <col min="3587" max="3587" width="4.625" style="297" customWidth="1"/>
    <col min="3588" max="3592" width="6.75" style="297" customWidth="1"/>
    <col min="3593" max="3593" width="15.75" style="297" bestFit="1" customWidth="1"/>
    <col min="3594" max="3594" width="6.75" style="297" customWidth="1"/>
    <col min="3595" max="3595" width="11.25" style="297" bestFit="1" customWidth="1"/>
    <col min="3596" max="3596" width="6" style="297" bestFit="1" customWidth="1"/>
    <col min="3597" max="3597" width="12.25" style="297" bestFit="1" customWidth="1"/>
    <col min="3598" max="3598" width="6" style="297" bestFit="1" customWidth="1"/>
    <col min="3599" max="3599" width="12.25" style="297" bestFit="1" customWidth="1"/>
    <col min="3600" max="3600" width="6" style="297" bestFit="1" customWidth="1"/>
    <col min="3601" max="3601" width="12.25" style="297" bestFit="1" customWidth="1"/>
    <col min="3602" max="3602" width="6" style="297" bestFit="1" customWidth="1"/>
    <col min="3603" max="3603" width="12.25" style="297" bestFit="1" customWidth="1"/>
    <col min="3604" max="3604" width="6" style="297" bestFit="1" customWidth="1"/>
    <col min="3605" max="3605" width="12.25" style="297" bestFit="1" customWidth="1"/>
    <col min="3606" max="3606" width="6" style="297" bestFit="1" customWidth="1"/>
    <col min="3607" max="3842" width="7.75" style="297"/>
    <col min="3843" max="3843" width="4.625" style="297" customWidth="1"/>
    <col min="3844" max="3848" width="6.75" style="297" customWidth="1"/>
    <col min="3849" max="3849" width="15.75" style="297" bestFit="1" customWidth="1"/>
    <col min="3850" max="3850" width="6.75" style="297" customWidth="1"/>
    <col min="3851" max="3851" width="11.25" style="297" bestFit="1" customWidth="1"/>
    <col min="3852" max="3852" width="6" style="297" bestFit="1" customWidth="1"/>
    <col min="3853" max="3853" width="12.25" style="297" bestFit="1" customWidth="1"/>
    <col min="3854" max="3854" width="6" style="297" bestFit="1" customWidth="1"/>
    <col min="3855" max="3855" width="12.25" style="297" bestFit="1" customWidth="1"/>
    <col min="3856" max="3856" width="6" style="297" bestFit="1" customWidth="1"/>
    <col min="3857" max="3857" width="12.25" style="297" bestFit="1" customWidth="1"/>
    <col min="3858" max="3858" width="6" style="297" bestFit="1" customWidth="1"/>
    <col min="3859" max="3859" width="12.25" style="297" bestFit="1" customWidth="1"/>
    <col min="3860" max="3860" width="6" style="297" bestFit="1" customWidth="1"/>
    <col min="3861" max="3861" width="12.25" style="297" bestFit="1" customWidth="1"/>
    <col min="3862" max="3862" width="6" style="297" bestFit="1" customWidth="1"/>
    <col min="3863" max="4098" width="7.75" style="297"/>
    <col min="4099" max="4099" width="4.625" style="297" customWidth="1"/>
    <col min="4100" max="4104" width="6.75" style="297" customWidth="1"/>
    <col min="4105" max="4105" width="15.75" style="297" bestFit="1" customWidth="1"/>
    <col min="4106" max="4106" width="6.75" style="297" customWidth="1"/>
    <col min="4107" max="4107" width="11.25" style="297" bestFit="1" customWidth="1"/>
    <col min="4108" max="4108" width="6" style="297" bestFit="1" customWidth="1"/>
    <col min="4109" max="4109" width="12.25" style="297" bestFit="1" customWidth="1"/>
    <col min="4110" max="4110" width="6" style="297" bestFit="1" customWidth="1"/>
    <col min="4111" max="4111" width="12.25" style="297" bestFit="1" customWidth="1"/>
    <col min="4112" max="4112" width="6" style="297" bestFit="1" customWidth="1"/>
    <col min="4113" max="4113" width="12.25" style="297" bestFit="1" customWidth="1"/>
    <col min="4114" max="4114" width="6" style="297" bestFit="1" customWidth="1"/>
    <col min="4115" max="4115" width="12.25" style="297" bestFit="1" customWidth="1"/>
    <col min="4116" max="4116" width="6" style="297" bestFit="1" customWidth="1"/>
    <col min="4117" max="4117" width="12.25" style="297" bestFit="1" customWidth="1"/>
    <col min="4118" max="4118" width="6" style="297" bestFit="1" customWidth="1"/>
    <col min="4119" max="4354" width="7.75" style="297"/>
    <col min="4355" max="4355" width="4.625" style="297" customWidth="1"/>
    <col min="4356" max="4360" width="6.75" style="297" customWidth="1"/>
    <col min="4361" max="4361" width="15.75" style="297" bestFit="1" customWidth="1"/>
    <col min="4362" max="4362" width="6.75" style="297" customWidth="1"/>
    <col min="4363" max="4363" width="11.25" style="297" bestFit="1" customWidth="1"/>
    <col min="4364" max="4364" width="6" style="297" bestFit="1" customWidth="1"/>
    <col min="4365" max="4365" width="12.25" style="297" bestFit="1" customWidth="1"/>
    <col min="4366" max="4366" width="6" style="297" bestFit="1" customWidth="1"/>
    <col min="4367" max="4367" width="12.25" style="297" bestFit="1" customWidth="1"/>
    <col min="4368" max="4368" width="6" style="297" bestFit="1" customWidth="1"/>
    <col min="4369" max="4369" width="12.25" style="297" bestFit="1" customWidth="1"/>
    <col min="4370" max="4370" width="6" style="297" bestFit="1" customWidth="1"/>
    <col min="4371" max="4371" width="12.25" style="297" bestFit="1" customWidth="1"/>
    <col min="4372" max="4372" width="6" style="297" bestFit="1" customWidth="1"/>
    <col min="4373" max="4373" width="12.25" style="297" bestFit="1" customWidth="1"/>
    <col min="4374" max="4374" width="6" style="297" bestFit="1" customWidth="1"/>
    <col min="4375" max="4610" width="7.75" style="297"/>
    <col min="4611" max="4611" width="4.625" style="297" customWidth="1"/>
    <col min="4612" max="4616" width="6.75" style="297" customWidth="1"/>
    <col min="4617" max="4617" width="15.75" style="297" bestFit="1" customWidth="1"/>
    <col min="4618" max="4618" width="6.75" style="297" customWidth="1"/>
    <col min="4619" max="4619" width="11.25" style="297" bestFit="1" customWidth="1"/>
    <col min="4620" max="4620" width="6" style="297" bestFit="1" customWidth="1"/>
    <col min="4621" max="4621" width="12.25" style="297" bestFit="1" customWidth="1"/>
    <col min="4622" max="4622" width="6" style="297" bestFit="1" customWidth="1"/>
    <col min="4623" max="4623" width="12.25" style="297" bestFit="1" customWidth="1"/>
    <col min="4624" max="4624" width="6" style="297" bestFit="1" customWidth="1"/>
    <col min="4625" max="4625" width="12.25" style="297" bestFit="1" customWidth="1"/>
    <col min="4626" max="4626" width="6" style="297" bestFit="1" customWidth="1"/>
    <col min="4627" max="4627" width="12.25" style="297" bestFit="1" customWidth="1"/>
    <col min="4628" max="4628" width="6" style="297" bestFit="1" customWidth="1"/>
    <col min="4629" max="4629" width="12.25" style="297" bestFit="1" customWidth="1"/>
    <col min="4630" max="4630" width="6" style="297" bestFit="1" customWidth="1"/>
    <col min="4631" max="4866" width="7.75" style="297"/>
    <col min="4867" max="4867" width="4.625" style="297" customWidth="1"/>
    <col min="4868" max="4872" width="6.75" style="297" customWidth="1"/>
    <col min="4873" max="4873" width="15.75" style="297" bestFit="1" customWidth="1"/>
    <col min="4874" max="4874" width="6.75" style="297" customWidth="1"/>
    <col min="4875" max="4875" width="11.25" style="297" bestFit="1" customWidth="1"/>
    <col min="4876" max="4876" width="6" style="297" bestFit="1" customWidth="1"/>
    <col min="4877" max="4877" width="12.25" style="297" bestFit="1" customWidth="1"/>
    <col min="4878" max="4878" width="6" style="297" bestFit="1" customWidth="1"/>
    <col min="4879" max="4879" width="12.25" style="297" bestFit="1" customWidth="1"/>
    <col min="4880" max="4880" width="6" style="297" bestFit="1" customWidth="1"/>
    <col min="4881" max="4881" width="12.25" style="297" bestFit="1" customWidth="1"/>
    <col min="4882" max="4882" width="6" style="297" bestFit="1" customWidth="1"/>
    <col min="4883" max="4883" width="12.25" style="297" bestFit="1" customWidth="1"/>
    <col min="4884" max="4884" width="6" style="297" bestFit="1" customWidth="1"/>
    <col min="4885" max="4885" width="12.25" style="297" bestFit="1" customWidth="1"/>
    <col min="4886" max="4886" width="6" style="297" bestFit="1" customWidth="1"/>
    <col min="4887" max="5122" width="7.75" style="297"/>
    <col min="5123" max="5123" width="4.625" style="297" customWidth="1"/>
    <col min="5124" max="5128" width="6.75" style="297" customWidth="1"/>
    <col min="5129" max="5129" width="15.75" style="297" bestFit="1" customWidth="1"/>
    <col min="5130" max="5130" width="6.75" style="297" customWidth="1"/>
    <col min="5131" max="5131" width="11.25" style="297" bestFit="1" customWidth="1"/>
    <col min="5132" max="5132" width="6" style="297" bestFit="1" customWidth="1"/>
    <col min="5133" max="5133" width="12.25" style="297" bestFit="1" customWidth="1"/>
    <col min="5134" max="5134" width="6" style="297" bestFit="1" customWidth="1"/>
    <col min="5135" max="5135" width="12.25" style="297" bestFit="1" customWidth="1"/>
    <col min="5136" max="5136" width="6" style="297" bestFit="1" customWidth="1"/>
    <col min="5137" max="5137" width="12.25" style="297" bestFit="1" customWidth="1"/>
    <col min="5138" max="5138" width="6" style="297" bestFit="1" customWidth="1"/>
    <col min="5139" max="5139" width="12.25" style="297" bestFit="1" customWidth="1"/>
    <col min="5140" max="5140" width="6" style="297" bestFit="1" customWidth="1"/>
    <col min="5141" max="5141" width="12.25" style="297" bestFit="1" customWidth="1"/>
    <col min="5142" max="5142" width="6" style="297" bestFit="1" customWidth="1"/>
    <col min="5143" max="5378" width="7.75" style="297"/>
    <col min="5379" max="5379" width="4.625" style="297" customWidth="1"/>
    <col min="5380" max="5384" width="6.75" style="297" customWidth="1"/>
    <col min="5385" max="5385" width="15.75" style="297" bestFit="1" customWidth="1"/>
    <col min="5386" max="5386" width="6.75" style="297" customWidth="1"/>
    <col min="5387" max="5387" width="11.25" style="297" bestFit="1" customWidth="1"/>
    <col min="5388" max="5388" width="6" style="297" bestFit="1" customWidth="1"/>
    <col min="5389" max="5389" width="12.25" style="297" bestFit="1" customWidth="1"/>
    <col min="5390" max="5390" width="6" style="297" bestFit="1" customWidth="1"/>
    <col min="5391" max="5391" width="12.25" style="297" bestFit="1" customWidth="1"/>
    <col min="5392" max="5392" width="6" style="297" bestFit="1" customWidth="1"/>
    <col min="5393" max="5393" width="12.25" style="297" bestFit="1" customWidth="1"/>
    <col min="5394" max="5394" width="6" style="297" bestFit="1" customWidth="1"/>
    <col min="5395" max="5395" width="12.25" style="297" bestFit="1" customWidth="1"/>
    <col min="5396" max="5396" width="6" style="297" bestFit="1" customWidth="1"/>
    <col min="5397" max="5397" width="12.25" style="297" bestFit="1" customWidth="1"/>
    <col min="5398" max="5398" width="6" style="297" bestFit="1" customWidth="1"/>
    <col min="5399" max="5634" width="7.75" style="297"/>
    <col min="5635" max="5635" width="4.625" style="297" customWidth="1"/>
    <col min="5636" max="5640" width="6.75" style="297" customWidth="1"/>
    <col min="5641" max="5641" width="15.75" style="297" bestFit="1" customWidth="1"/>
    <col min="5642" max="5642" width="6.75" style="297" customWidth="1"/>
    <col min="5643" max="5643" width="11.25" style="297" bestFit="1" customWidth="1"/>
    <col min="5644" max="5644" width="6" style="297" bestFit="1" customWidth="1"/>
    <col min="5645" max="5645" width="12.25" style="297" bestFit="1" customWidth="1"/>
    <col min="5646" max="5646" width="6" style="297" bestFit="1" customWidth="1"/>
    <col min="5647" max="5647" width="12.25" style="297" bestFit="1" customWidth="1"/>
    <col min="5648" max="5648" width="6" style="297" bestFit="1" customWidth="1"/>
    <col min="5649" max="5649" width="12.25" style="297" bestFit="1" customWidth="1"/>
    <col min="5650" max="5650" width="6" style="297" bestFit="1" customWidth="1"/>
    <col min="5651" max="5651" width="12.25" style="297" bestFit="1" customWidth="1"/>
    <col min="5652" max="5652" width="6" style="297" bestFit="1" customWidth="1"/>
    <col min="5653" max="5653" width="12.25" style="297" bestFit="1" customWidth="1"/>
    <col min="5654" max="5654" width="6" style="297" bestFit="1" customWidth="1"/>
    <col min="5655" max="5890" width="7.75" style="297"/>
    <col min="5891" max="5891" width="4.625" style="297" customWidth="1"/>
    <col min="5892" max="5896" width="6.75" style="297" customWidth="1"/>
    <col min="5897" max="5897" width="15.75" style="297" bestFit="1" customWidth="1"/>
    <col min="5898" max="5898" width="6.75" style="297" customWidth="1"/>
    <col min="5899" max="5899" width="11.25" style="297" bestFit="1" customWidth="1"/>
    <col min="5900" max="5900" width="6" style="297" bestFit="1" customWidth="1"/>
    <col min="5901" max="5901" width="12.25" style="297" bestFit="1" customWidth="1"/>
    <col min="5902" max="5902" width="6" style="297" bestFit="1" customWidth="1"/>
    <col min="5903" max="5903" width="12.25" style="297" bestFit="1" customWidth="1"/>
    <col min="5904" max="5904" width="6" style="297" bestFit="1" customWidth="1"/>
    <col min="5905" max="5905" width="12.25" style="297" bestFit="1" customWidth="1"/>
    <col min="5906" max="5906" width="6" style="297" bestFit="1" customWidth="1"/>
    <col min="5907" max="5907" width="12.25" style="297" bestFit="1" customWidth="1"/>
    <col min="5908" max="5908" width="6" style="297" bestFit="1" customWidth="1"/>
    <col min="5909" max="5909" width="12.25" style="297" bestFit="1" customWidth="1"/>
    <col min="5910" max="5910" width="6" style="297" bestFit="1" customWidth="1"/>
    <col min="5911" max="6146" width="7.75" style="297"/>
    <col min="6147" max="6147" width="4.625" style="297" customWidth="1"/>
    <col min="6148" max="6152" width="6.75" style="297" customWidth="1"/>
    <col min="6153" max="6153" width="15.75" style="297" bestFit="1" customWidth="1"/>
    <col min="6154" max="6154" width="6.75" style="297" customWidth="1"/>
    <col min="6155" max="6155" width="11.25" style="297" bestFit="1" customWidth="1"/>
    <col min="6156" max="6156" width="6" style="297" bestFit="1" customWidth="1"/>
    <col min="6157" max="6157" width="12.25" style="297" bestFit="1" customWidth="1"/>
    <col min="6158" max="6158" width="6" style="297" bestFit="1" customWidth="1"/>
    <col min="6159" max="6159" width="12.25" style="297" bestFit="1" customWidth="1"/>
    <col min="6160" max="6160" width="6" style="297" bestFit="1" customWidth="1"/>
    <col min="6161" max="6161" width="12.25" style="297" bestFit="1" customWidth="1"/>
    <col min="6162" max="6162" width="6" style="297" bestFit="1" customWidth="1"/>
    <col min="6163" max="6163" width="12.25" style="297" bestFit="1" customWidth="1"/>
    <col min="6164" max="6164" width="6" style="297" bestFit="1" customWidth="1"/>
    <col min="6165" max="6165" width="12.25" style="297" bestFit="1" customWidth="1"/>
    <col min="6166" max="6166" width="6" style="297" bestFit="1" customWidth="1"/>
    <col min="6167" max="6402" width="7.75" style="297"/>
    <col min="6403" max="6403" width="4.625" style="297" customWidth="1"/>
    <col min="6404" max="6408" width="6.75" style="297" customWidth="1"/>
    <col min="6409" max="6409" width="15.75" style="297" bestFit="1" customWidth="1"/>
    <col min="6410" max="6410" width="6.75" style="297" customWidth="1"/>
    <col min="6411" max="6411" width="11.25" style="297" bestFit="1" customWidth="1"/>
    <col min="6412" max="6412" width="6" style="297" bestFit="1" customWidth="1"/>
    <col min="6413" max="6413" width="12.25" style="297" bestFit="1" customWidth="1"/>
    <col min="6414" max="6414" width="6" style="297" bestFit="1" customWidth="1"/>
    <col min="6415" max="6415" width="12.25" style="297" bestFit="1" customWidth="1"/>
    <col min="6416" max="6416" width="6" style="297" bestFit="1" customWidth="1"/>
    <col min="6417" max="6417" width="12.25" style="297" bestFit="1" customWidth="1"/>
    <col min="6418" max="6418" width="6" style="297" bestFit="1" customWidth="1"/>
    <col min="6419" max="6419" width="12.25" style="297" bestFit="1" customWidth="1"/>
    <col min="6420" max="6420" width="6" style="297" bestFit="1" customWidth="1"/>
    <col min="6421" max="6421" width="12.25" style="297" bestFit="1" customWidth="1"/>
    <col min="6422" max="6422" width="6" style="297" bestFit="1" customWidth="1"/>
    <col min="6423" max="6658" width="7.75" style="297"/>
    <col min="6659" max="6659" width="4.625" style="297" customWidth="1"/>
    <col min="6660" max="6664" width="6.75" style="297" customWidth="1"/>
    <col min="6665" max="6665" width="15.75" style="297" bestFit="1" customWidth="1"/>
    <col min="6666" max="6666" width="6.75" style="297" customWidth="1"/>
    <col min="6667" max="6667" width="11.25" style="297" bestFit="1" customWidth="1"/>
    <col min="6668" max="6668" width="6" style="297" bestFit="1" customWidth="1"/>
    <col min="6669" max="6669" width="12.25" style="297" bestFit="1" customWidth="1"/>
    <col min="6670" max="6670" width="6" style="297" bestFit="1" customWidth="1"/>
    <col min="6671" max="6671" width="12.25" style="297" bestFit="1" customWidth="1"/>
    <col min="6672" max="6672" width="6" style="297" bestFit="1" customWidth="1"/>
    <col min="6673" max="6673" width="12.25" style="297" bestFit="1" customWidth="1"/>
    <col min="6674" max="6674" width="6" style="297" bestFit="1" customWidth="1"/>
    <col min="6675" max="6675" width="12.25" style="297" bestFit="1" customWidth="1"/>
    <col min="6676" max="6676" width="6" style="297" bestFit="1" customWidth="1"/>
    <col min="6677" max="6677" width="12.25" style="297" bestFit="1" customWidth="1"/>
    <col min="6678" max="6678" width="6" style="297" bestFit="1" customWidth="1"/>
    <col min="6679" max="6914" width="7.75" style="297"/>
    <col min="6915" max="6915" width="4.625" style="297" customWidth="1"/>
    <col min="6916" max="6920" width="6.75" style="297" customWidth="1"/>
    <col min="6921" max="6921" width="15.75" style="297" bestFit="1" customWidth="1"/>
    <col min="6922" max="6922" width="6.75" style="297" customWidth="1"/>
    <col min="6923" max="6923" width="11.25" style="297" bestFit="1" customWidth="1"/>
    <col min="6924" max="6924" width="6" style="297" bestFit="1" customWidth="1"/>
    <col min="6925" max="6925" width="12.25" style="297" bestFit="1" customWidth="1"/>
    <col min="6926" max="6926" width="6" style="297" bestFit="1" customWidth="1"/>
    <col min="6927" max="6927" width="12.25" style="297" bestFit="1" customWidth="1"/>
    <col min="6928" max="6928" width="6" style="297" bestFit="1" customWidth="1"/>
    <col min="6929" max="6929" width="12.25" style="297" bestFit="1" customWidth="1"/>
    <col min="6930" max="6930" width="6" style="297" bestFit="1" customWidth="1"/>
    <col min="6931" max="6931" width="12.25" style="297" bestFit="1" customWidth="1"/>
    <col min="6932" max="6932" width="6" style="297" bestFit="1" customWidth="1"/>
    <col min="6933" max="6933" width="12.25" style="297" bestFit="1" customWidth="1"/>
    <col min="6934" max="6934" width="6" style="297" bestFit="1" customWidth="1"/>
    <col min="6935" max="7170" width="7.75" style="297"/>
    <col min="7171" max="7171" width="4.625" style="297" customWidth="1"/>
    <col min="7172" max="7176" width="6.75" style="297" customWidth="1"/>
    <col min="7177" max="7177" width="15.75" style="297" bestFit="1" customWidth="1"/>
    <col min="7178" max="7178" width="6.75" style="297" customWidth="1"/>
    <col min="7179" max="7179" width="11.25" style="297" bestFit="1" customWidth="1"/>
    <col min="7180" max="7180" width="6" style="297" bestFit="1" customWidth="1"/>
    <col min="7181" max="7181" width="12.25" style="297" bestFit="1" customWidth="1"/>
    <col min="7182" max="7182" width="6" style="297" bestFit="1" customWidth="1"/>
    <col min="7183" max="7183" width="12.25" style="297" bestFit="1" customWidth="1"/>
    <col min="7184" max="7184" width="6" style="297" bestFit="1" customWidth="1"/>
    <col min="7185" max="7185" width="12.25" style="297" bestFit="1" customWidth="1"/>
    <col min="7186" max="7186" width="6" style="297" bestFit="1" customWidth="1"/>
    <col min="7187" max="7187" width="12.25" style="297" bestFit="1" customWidth="1"/>
    <col min="7188" max="7188" width="6" style="297" bestFit="1" customWidth="1"/>
    <col min="7189" max="7189" width="12.25" style="297" bestFit="1" customWidth="1"/>
    <col min="7190" max="7190" width="6" style="297" bestFit="1" customWidth="1"/>
    <col min="7191" max="7426" width="7.75" style="297"/>
    <col min="7427" max="7427" width="4.625" style="297" customWidth="1"/>
    <col min="7428" max="7432" width="6.75" style="297" customWidth="1"/>
    <col min="7433" max="7433" width="15.75" style="297" bestFit="1" customWidth="1"/>
    <col min="7434" max="7434" width="6.75" style="297" customWidth="1"/>
    <col min="7435" max="7435" width="11.25" style="297" bestFit="1" customWidth="1"/>
    <col min="7436" max="7436" width="6" style="297" bestFit="1" customWidth="1"/>
    <col min="7437" max="7437" width="12.25" style="297" bestFit="1" customWidth="1"/>
    <col min="7438" max="7438" width="6" style="297" bestFit="1" customWidth="1"/>
    <col min="7439" max="7439" width="12.25" style="297" bestFit="1" customWidth="1"/>
    <col min="7440" max="7440" width="6" style="297" bestFit="1" customWidth="1"/>
    <col min="7441" max="7441" width="12.25" style="297" bestFit="1" customWidth="1"/>
    <col min="7442" max="7442" width="6" style="297" bestFit="1" customWidth="1"/>
    <col min="7443" max="7443" width="12.25" style="297" bestFit="1" customWidth="1"/>
    <col min="7444" max="7444" width="6" style="297" bestFit="1" customWidth="1"/>
    <col min="7445" max="7445" width="12.25" style="297" bestFit="1" customWidth="1"/>
    <col min="7446" max="7446" width="6" style="297" bestFit="1" customWidth="1"/>
    <col min="7447" max="7682" width="7.75" style="297"/>
    <col min="7683" max="7683" width="4.625" style="297" customWidth="1"/>
    <col min="7684" max="7688" width="6.75" style="297" customWidth="1"/>
    <col min="7689" max="7689" width="15.75" style="297" bestFit="1" customWidth="1"/>
    <col min="7690" max="7690" width="6.75" style="297" customWidth="1"/>
    <col min="7691" max="7691" width="11.25" style="297" bestFit="1" customWidth="1"/>
    <col min="7692" max="7692" width="6" style="297" bestFit="1" customWidth="1"/>
    <col min="7693" max="7693" width="12.25" style="297" bestFit="1" customWidth="1"/>
    <col min="7694" max="7694" width="6" style="297" bestFit="1" customWidth="1"/>
    <col min="7695" max="7695" width="12.25" style="297" bestFit="1" customWidth="1"/>
    <col min="7696" max="7696" width="6" style="297" bestFit="1" customWidth="1"/>
    <col min="7697" max="7697" width="12.25" style="297" bestFit="1" customWidth="1"/>
    <col min="7698" max="7698" width="6" style="297" bestFit="1" customWidth="1"/>
    <col min="7699" max="7699" width="12.25" style="297" bestFit="1" customWidth="1"/>
    <col min="7700" max="7700" width="6" style="297" bestFit="1" customWidth="1"/>
    <col min="7701" max="7701" width="12.25" style="297" bestFit="1" customWidth="1"/>
    <col min="7702" max="7702" width="6" style="297" bestFit="1" customWidth="1"/>
    <col min="7703" max="7938" width="7.75" style="297"/>
    <col min="7939" max="7939" width="4.625" style="297" customWidth="1"/>
    <col min="7940" max="7944" width="6.75" style="297" customWidth="1"/>
    <col min="7945" max="7945" width="15.75" style="297" bestFit="1" customWidth="1"/>
    <col min="7946" max="7946" width="6.75" style="297" customWidth="1"/>
    <col min="7947" max="7947" width="11.25" style="297" bestFit="1" customWidth="1"/>
    <col min="7948" max="7948" width="6" style="297" bestFit="1" customWidth="1"/>
    <col min="7949" max="7949" width="12.25" style="297" bestFit="1" customWidth="1"/>
    <col min="7950" max="7950" width="6" style="297" bestFit="1" customWidth="1"/>
    <col min="7951" max="7951" width="12.25" style="297" bestFit="1" customWidth="1"/>
    <col min="7952" max="7952" width="6" style="297" bestFit="1" customWidth="1"/>
    <col min="7953" max="7953" width="12.25" style="297" bestFit="1" customWidth="1"/>
    <col min="7954" max="7954" width="6" style="297" bestFit="1" customWidth="1"/>
    <col min="7955" max="7955" width="12.25" style="297" bestFit="1" customWidth="1"/>
    <col min="7956" max="7956" width="6" style="297" bestFit="1" customWidth="1"/>
    <col min="7957" max="7957" width="12.25" style="297" bestFit="1" customWidth="1"/>
    <col min="7958" max="7958" width="6" style="297" bestFit="1" customWidth="1"/>
    <col min="7959" max="8194" width="7.75" style="297"/>
    <col min="8195" max="8195" width="4.625" style="297" customWidth="1"/>
    <col min="8196" max="8200" width="6.75" style="297" customWidth="1"/>
    <col min="8201" max="8201" width="15.75" style="297" bestFit="1" customWidth="1"/>
    <col min="8202" max="8202" width="6.75" style="297" customWidth="1"/>
    <col min="8203" max="8203" width="11.25" style="297" bestFit="1" customWidth="1"/>
    <col min="8204" max="8204" width="6" style="297" bestFit="1" customWidth="1"/>
    <col min="8205" max="8205" width="12.25" style="297" bestFit="1" customWidth="1"/>
    <col min="8206" max="8206" width="6" style="297" bestFit="1" customWidth="1"/>
    <col min="8207" max="8207" width="12.25" style="297" bestFit="1" customWidth="1"/>
    <col min="8208" max="8208" width="6" style="297" bestFit="1" customWidth="1"/>
    <col min="8209" max="8209" width="12.25" style="297" bestFit="1" customWidth="1"/>
    <col min="8210" max="8210" width="6" style="297" bestFit="1" customWidth="1"/>
    <col min="8211" max="8211" width="12.25" style="297" bestFit="1" customWidth="1"/>
    <col min="8212" max="8212" width="6" style="297" bestFit="1" customWidth="1"/>
    <col min="8213" max="8213" width="12.25" style="297" bestFit="1" customWidth="1"/>
    <col min="8214" max="8214" width="6" style="297" bestFit="1" customWidth="1"/>
    <col min="8215" max="8450" width="7.75" style="297"/>
    <col min="8451" max="8451" width="4.625" style="297" customWidth="1"/>
    <col min="8452" max="8456" width="6.75" style="297" customWidth="1"/>
    <col min="8457" max="8457" width="15.75" style="297" bestFit="1" customWidth="1"/>
    <col min="8458" max="8458" width="6.75" style="297" customWidth="1"/>
    <col min="8459" max="8459" width="11.25" style="297" bestFit="1" customWidth="1"/>
    <col min="8460" max="8460" width="6" style="297" bestFit="1" customWidth="1"/>
    <col min="8461" max="8461" width="12.25" style="297" bestFit="1" customWidth="1"/>
    <col min="8462" max="8462" width="6" style="297" bestFit="1" customWidth="1"/>
    <col min="8463" max="8463" width="12.25" style="297" bestFit="1" customWidth="1"/>
    <col min="8464" max="8464" width="6" style="297" bestFit="1" customWidth="1"/>
    <col min="8465" max="8465" width="12.25" style="297" bestFit="1" customWidth="1"/>
    <col min="8466" max="8466" width="6" style="297" bestFit="1" customWidth="1"/>
    <col min="8467" max="8467" width="12.25" style="297" bestFit="1" customWidth="1"/>
    <col min="8468" max="8468" width="6" style="297" bestFit="1" customWidth="1"/>
    <col min="8469" max="8469" width="12.25" style="297" bestFit="1" customWidth="1"/>
    <col min="8470" max="8470" width="6" style="297" bestFit="1" customWidth="1"/>
    <col min="8471" max="8706" width="7.75" style="297"/>
    <col min="8707" max="8707" width="4.625" style="297" customWidth="1"/>
    <col min="8708" max="8712" width="6.75" style="297" customWidth="1"/>
    <col min="8713" max="8713" width="15.75" style="297" bestFit="1" customWidth="1"/>
    <col min="8714" max="8714" width="6.75" style="297" customWidth="1"/>
    <col min="8715" max="8715" width="11.25" style="297" bestFit="1" customWidth="1"/>
    <col min="8716" max="8716" width="6" style="297" bestFit="1" customWidth="1"/>
    <col min="8717" max="8717" width="12.25" style="297" bestFit="1" customWidth="1"/>
    <col min="8718" max="8718" width="6" style="297" bestFit="1" customWidth="1"/>
    <col min="8719" max="8719" width="12.25" style="297" bestFit="1" customWidth="1"/>
    <col min="8720" max="8720" width="6" style="297" bestFit="1" customWidth="1"/>
    <col min="8721" max="8721" width="12.25" style="297" bestFit="1" customWidth="1"/>
    <col min="8722" max="8722" width="6" style="297" bestFit="1" customWidth="1"/>
    <col min="8723" max="8723" width="12.25" style="297" bestFit="1" customWidth="1"/>
    <col min="8724" max="8724" width="6" style="297" bestFit="1" customWidth="1"/>
    <col min="8725" max="8725" width="12.25" style="297" bestFit="1" customWidth="1"/>
    <col min="8726" max="8726" width="6" style="297" bestFit="1" customWidth="1"/>
    <col min="8727" max="8962" width="7.75" style="297"/>
    <col min="8963" max="8963" width="4.625" style="297" customWidth="1"/>
    <col min="8964" max="8968" width="6.75" style="297" customWidth="1"/>
    <col min="8969" max="8969" width="15.75" style="297" bestFit="1" customWidth="1"/>
    <col min="8970" max="8970" width="6.75" style="297" customWidth="1"/>
    <col min="8971" max="8971" width="11.25" style="297" bestFit="1" customWidth="1"/>
    <col min="8972" max="8972" width="6" style="297" bestFit="1" customWidth="1"/>
    <col min="8973" max="8973" width="12.25" style="297" bestFit="1" customWidth="1"/>
    <col min="8974" max="8974" width="6" style="297" bestFit="1" customWidth="1"/>
    <col min="8975" max="8975" width="12.25" style="297" bestFit="1" customWidth="1"/>
    <col min="8976" max="8976" width="6" style="297" bestFit="1" customWidth="1"/>
    <col min="8977" max="8977" width="12.25" style="297" bestFit="1" customWidth="1"/>
    <col min="8978" max="8978" width="6" style="297" bestFit="1" customWidth="1"/>
    <col min="8979" max="8979" width="12.25" style="297" bestFit="1" customWidth="1"/>
    <col min="8980" max="8980" width="6" style="297" bestFit="1" customWidth="1"/>
    <col min="8981" max="8981" width="12.25" style="297" bestFit="1" customWidth="1"/>
    <col min="8982" max="8982" width="6" style="297" bestFit="1" customWidth="1"/>
    <col min="8983" max="9218" width="7.75" style="297"/>
    <col min="9219" max="9219" width="4.625" style="297" customWidth="1"/>
    <col min="9220" max="9224" width="6.75" style="297" customWidth="1"/>
    <col min="9225" max="9225" width="15.75" style="297" bestFit="1" customWidth="1"/>
    <col min="9226" max="9226" width="6.75" style="297" customWidth="1"/>
    <col min="9227" max="9227" width="11.25" style="297" bestFit="1" customWidth="1"/>
    <col min="9228" max="9228" width="6" style="297" bestFit="1" customWidth="1"/>
    <col min="9229" max="9229" width="12.25" style="297" bestFit="1" customWidth="1"/>
    <col min="9230" max="9230" width="6" style="297" bestFit="1" customWidth="1"/>
    <col min="9231" max="9231" width="12.25" style="297" bestFit="1" customWidth="1"/>
    <col min="9232" max="9232" width="6" style="297" bestFit="1" customWidth="1"/>
    <col min="9233" max="9233" width="12.25" style="297" bestFit="1" customWidth="1"/>
    <col min="9234" max="9234" width="6" style="297" bestFit="1" customWidth="1"/>
    <col min="9235" max="9235" width="12.25" style="297" bestFit="1" customWidth="1"/>
    <col min="9236" max="9236" width="6" style="297" bestFit="1" customWidth="1"/>
    <col min="9237" max="9237" width="12.25" style="297" bestFit="1" customWidth="1"/>
    <col min="9238" max="9238" width="6" style="297" bestFit="1" customWidth="1"/>
    <col min="9239" max="9474" width="7.75" style="297"/>
    <col min="9475" max="9475" width="4.625" style="297" customWidth="1"/>
    <col min="9476" max="9480" width="6.75" style="297" customWidth="1"/>
    <col min="9481" max="9481" width="15.75" style="297" bestFit="1" customWidth="1"/>
    <col min="9482" max="9482" width="6.75" style="297" customWidth="1"/>
    <col min="9483" max="9483" width="11.25" style="297" bestFit="1" customWidth="1"/>
    <col min="9484" max="9484" width="6" style="297" bestFit="1" customWidth="1"/>
    <col min="9485" max="9485" width="12.25" style="297" bestFit="1" customWidth="1"/>
    <col min="9486" max="9486" width="6" style="297" bestFit="1" customWidth="1"/>
    <col min="9487" max="9487" width="12.25" style="297" bestFit="1" customWidth="1"/>
    <col min="9488" max="9488" width="6" style="297" bestFit="1" customWidth="1"/>
    <col min="9489" max="9489" width="12.25" style="297" bestFit="1" customWidth="1"/>
    <col min="9490" max="9490" width="6" style="297" bestFit="1" customWidth="1"/>
    <col min="9491" max="9491" width="12.25" style="297" bestFit="1" customWidth="1"/>
    <col min="9492" max="9492" width="6" style="297" bestFit="1" customWidth="1"/>
    <col min="9493" max="9493" width="12.25" style="297" bestFit="1" customWidth="1"/>
    <col min="9494" max="9494" width="6" style="297" bestFit="1" customWidth="1"/>
    <col min="9495" max="9730" width="7.75" style="297"/>
    <col min="9731" max="9731" width="4.625" style="297" customWidth="1"/>
    <col min="9732" max="9736" width="6.75" style="297" customWidth="1"/>
    <col min="9737" max="9737" width="15.75" style="297" bestFit="1" customWidth="1"/>
    <col min="9738" max="9738" width="6.75" style="297" customWidth="1"/>
    <col min="9739" max="9739" width="11.25" style="297" bestFit="1" customWidth="1"/>
    <col min="9740" max="9740" width="6" style="297" bestFit="1" customWidth="1"/>
    <col min="9741" max="9741" width="12.25" style="297" bestFit="1" customWidth="1"/>
    <col min="9742" max="9742" width="6" style="297" bestFit="1" customWidth="1"/>
    <col min="9743" max="9743" width="12.25" style="297" bestFit="1" customWidth="1"/>
    <col min="9744" max="9744" width="6" style="297" bestFit="1" customWidth="1"/>
    <col min="9745" max="9745" width="12.25" style="297" bestFit="1" customWidth="1"/>
    <col min="9746" max="9746" width="6" style="297" bestFit="1" customWidth="1"/>
    <col min="9747" max="9747" width="12.25" style="297" bestFit="1" customWidth="1"/>
    <col min="9748" max="9748" width="6" style="297" bestFit="1" customWidth="1"/>
    <col min="9749" max="9749" width="12.25" style="297" bestFit="1" customWidth="1"/>
    <col min="9750" max="9750" width="6" style="297" bestFit="1" customWidth="1"/>
    <col min="9751" max="9986" width="7.75" style="297"/>
    <col min="9987" max="9987" width="4.625" style="297" customWidth="1"/>
    <col min="9988" max="9992" width="6.75" style="297" customWidth="1"/>
    <col min="9993" max="9993" width="15.75" style="297" bestFit="1" customWidth="1"/>
    <col min="9994" max="9994" width="6.75" style="297" customWidth="1"/>
    <col min="9995" max="9995" width="11.25" style="297" bestFit="1" customWidth="1"/>
    <col min="9996" max="9996" width="6" style="297" bestFit="1" customWidth="1"/>
    <col min="9997" max="9997" width="12.25" style="297" bestFit="1" customWidth="1"/>
    <col min="9998" max="9998" width="6" style="297" bestFit="1" customWidth="1"/>
    <col min="9999" max="9999" width="12.25" style="297" bestFit="1" customWidth="1"/>
    <col min="10000" max="10000" width="6" style="297" bestFit="1" customWidth="1"/>
    <col min="10001" max="10001" width="12.25" style="297" bestFit="1" customWidth="1"/>
    <col min="10002" max="10002" width="6" style="297" bestFit="1" customWidth="1"/>
    <col min="10003" max="10003" width="12.25" style="297" bestFit="1" customWidth="1"/>
    <col min="10004" max="10004" width="6" style="297" bestFit="1" customWidth="1"/>
    <col min="10005" max="10005" width="12.25" style="297" bestFit="1" customWidth="1"/>
    <col min="10006" max="10006" width="6" style="297" bestFit="1" customWidth="1"/>
    <col min="10007" max="10242" width="7.75" style="297"/>
    <col min="10243" max="10243" width="4.625" style="297" customWidth="1"/>
    <col min="10244" max="10248" width="6.75" style="297" customWidth="1"/>
    <col min="10249" max="10249" width="15.75" style="297" bestFit="1" customWidth="1"/>
    <col min="10250" max="10250" width="6.75" style="297" customWidth="1"/>
    <col min="10251" max="10251" width="11.25" style="297" bestFit="1" customWidth="1"/>
    <col min="10252" max="10252" width="6" style="297" bestFit="1" customWidth="1"/>
    <col min="10253" max="10253" width="12.25" style="297" bestFit="1" customWidth="1"/>
    <col min="10254" max="10254" width="6" style="297" bestFit="1" customWidth="1"/>
    <col min="10255" max="10255" width="12.25" style="297" bestFit="1" customWidth="1"/>
    <col min="10256" max="10256" width="6" style="297" bestFit="1" customWidth="1"/>
    <col min="10257" max="10257" width="12.25" style="297" bestFit="1" customWidth="1"/>
    <col min="10258" max="10258" width="6" style="297" bestFit="1" customWidth="1"/>
    <col min="10259" max="10259" width="12.25" style="297" bestFit="1" customWidth="1"/>
    <col min="10260" max="10260" width="6" style="297" bestFit="1" customWidth="1"/>
    <col min="10261" max="10261" width="12.25" style="297" bestFit="1" customWidth="1"/>
    <col min="10262" max="10262" width="6" style="297" bestFit="1" customWidth="1"/>
    <col min="10263" max="10498" width="7.75" style="297"/>
    <col min="10499" max="10499" width="4.625" style="297" customWidth="1"/>
    <col min="10500" max="10504" width="6.75" style="297" customWidth="1"/>
    <col min="10505" max="10505" width="15.75" style="297" bestFit="1" customWidth="1"/>
    <col min="10506" max="10506" width="6.75" style="297" customWidth="1"/>
    <col min="10507" max="10507" width="11.25" style="297" bestFit="1" customWidth="1"/>
    <col min="10508" max="10508" width="6" style="297" bestFit="1" customWidth="1"/>
    <col min="10509" max="10509" width="12.25" style="297" bestFit="1" customWidth="1"/>
    <col min="10510" max="10510" width="6" style="297" bestFit="1" customWidth="1"/>
    <col min="10511" max="10511" width="12.25" style="297" bestFit="1" customWidth="1"/>
    <col min="10512" max="10512" width="6" style="297" bestFit="1" customWidth="1"/>
    <col min="10513" max="10513" width="12.25" style="297" bestFit="1" customWidth="1"/>
    <col min="10514" max="10514" width="6" style="297" bestFit="1" customWidth="1"/>
    <col min="10515" max="10515" width="12.25" style="297" bestFit="1" customWidth="1"/>
    <col min="10516" max="10516" width="6" style="297" bestFit="1" customWidth="1"/>
    <col min="10517" max="10517" width="12.25" style="297" bestFit="1" customWidth="1"/>
    <col min="10518" max="10518" width="6" style="297" bestFit="1" customWidth="1"/>
    <col min="10519" max="10754" width="7.75" style="297"/>
    <col min="10755" max="10755" width="4.625" style="297" customWidth="1"/>
    <col min="10756" max="10760" width="6.75" style="297" customWidth="1"/>
    <col min="10761" max="10761" width="15.75" style="297" bestFit="1" customWidth="1"/>
    <col min="10762" max="10762" width="6.75" style="297" customWidth="1"/>
    <col min="10763" max="10763" width="11.25" style="297" bestFit="1" customWidth="1"/>
    <col min="10764" max="10764" width="6" style="297" bestFit="1" customWidth="1"/>
    <col min="10765" max="10765" width="12.25" style="297" bestFit="1" customWidth="1"/>
    <col min="10766" max="10766" width="6" style="297" bestFit="1" customWidth="1"/>
    <col min="10767" max="10767" width="12.25" style="297" bestFit="1" customWidth="1"/>
    <col min="10768" max="10768" width="6" style="297" bestFit="1" customWidth="1"/>
    <col min="10769" max="10769" width="12.25" style="297" bestFit="1" customWidth="1"/>
    <col min="10770" max="10770" width="6" style="297" bestFit="1" customWidth="1"/>
    <col min="10771" max="10771" width="12.25" style="297" bestFit="1" customWidth="1"/>
    <col min="10772" max="10772" width="6" style="297" bestFit="1" customWidth="1"/>
    <col min="10773" max="10773" width="12.25" style="297" bestFit="1" customWidth="1"/>
    <col min="10774" max="10774" width="6" style="297" bestFit="1" customWidth="1"/>
    <col min="10775" max="11010" width="7.75" style="297"/>
    <col min="11011" max="11011" width="4.625" style="297" customWidth="1"/>
    <col min="11012" max="11016" width="6.75" style="297" customWidth="1"/>
    <col min="11017" max="11017" width="15.75" style="297" bestFit="1" customWidth="1"/>
    <col min="11018" max="11018" width="6.75" style="297" customWidth="1"/>
    <col min="11019" max="11019" width="11.25" style="297" bestFit="1" customWidth="1"/>
    <col min="11020" max="11020" width="6" style="297" bestFit="1" customWidth="1"/>
    <col min="11021" max="11021" width="12.25" style="297" bestFit="1" customWidth="1"/>
    <col min="11022" max="11022" width="6" style="297" bestFit="1" customWidth="1"/>
    <col min="11023" max="11023" width="12.25" style="297" bestFit="1" customWidth="1"/>
    <col min="11024" max="11024" width="6" style="297" bestFit="1" customWidth="1"/>
    <col min="11025" max="11025" width="12.25" style="297" bestFit="1" customWidth="1"/>
    <col min="11026" max="11026" width="6" style="297" bestFit="1" customWidth="1"/>
    <col min="11027" max="11027" width="12.25" style="297" bestFit="1" customWidth="1"/>
    <col min="11028" max="11028" width="6" style="297" bestFit="1" customWidth="1"/>
    <col min="11029" max="11029" width="12.25" style="297" bestFit="1" customWidth="1"/>
    <col min="11030" max="11030" width="6" style="297" bestFit="1" customWidth="1"/>
    <col min="11031" max="11266" width="7.75" style="297"/>
    <col min="11267" max="11267" width="4.625" style="297" customWidth="1"/>
    <col min="11268" max="11272" width="6.75" style="297" customWidth="1"/>
    <col min="11273" max="11273" width="15.75" style="297" bestFit="1" customWidth="1"/>
    <col min="11274" max="11274" width="6.75" style="297" customWidth="1"/>
    <col min="11275" max="11275" width="11.25" style="297" bestFit="1" customWidth="1"/>
    <col min="11276" max="11276" width="6" style="297" bestFit="1" customWidth="1"/>
    <col min="11277" max="11277" width="12.25" style="297" bestFit="1" customWidth="1"/>
    <col min="11278" max="11278" width="6" style="297" bestFit="1" customWidth="1"/>
    <col min="11279" max="11279" width="12.25" style="297" bestFit="1" customWidth="1"/>
    <col min="11280" max="11280" width="6" style="297" bestFit="1" customWidth="1"/>
    <col min="11281" max="11281" width="12.25" style="297" bestFit="1" customWidth="1"/>
    <col min="11282" max="11282" width="6" style="297" bestFit="1" customWidth="1"/>
    <col min="11283" max="11283" width="12.25" style="297" bestFit="1" customWidth="1"/>
    <col min="11284" max="11284" width="6" style="297" bestFit="1" customWidth="1"/>
    <col min="11285" max="11285" width="12.25" style="297" bestFit="1" customWidth="1"/>
    <col min="11286" max="11286" width="6" style="297" bestFit="1" customWidth="1"/>
    <col min="11287" max="11522" width="7.75" style="297"/>
    <col min="11523" max="11523" width="4.625" style="297" customWidth="1"/>
    <col min="11524" max="11528" width="6.75" style="297" customWidth="1"/>
    <col min="11529" max="11529" width="15.75" style="297" bestFit="1" customWidth="1"/>
    <col min="11530" max="11530" width="6.75" style="297" customWidth="1"/>
    <col min="11531" max="11531" width="11.25" style="297" bestFit="1" customWidth="1"/>
    <col min="11532" max="11532" width="6" style="297" bestFit="1" customWidth="1"/>
    <col min="11533" max="11533" width="12.25" style="297" bestFit="1" customWidth="1"/>
    <col min="11534" max="11534" width="6" style="297" bestFit="1" customWidth="1"/>
    <col min="11535" max="11535" width="12.25" style="297" bestFit="1" customWidth="1"/>
    <col min="11536" max="11536" width="6" style="297" bestFit="1" customWidth="1"/>
    <col min="11537" max="11537" width="12.25" style="297" bestFit="1" customWidth="1"/>
    <col min="11538" max="11538" width="6" style="297" bestFit="1" customWidth="1"/>
    <col min="11539" max="11539" width="12.25" style="297" bestFit="1" customWidth="1"/>
    <col min="11540" max="11540" width="6" style="297" bestFit="1" customWidth="1"/>
    <col min="11541" max="11541" width="12.25" style="297" bestFit="1" customWidth="1"/>
    <col min="11542" max="11542" width="6" style="297" bestFit="1" customWidth="1"/>
    <col min="11543" max="11778" width="7.75" style="297"/>
    <col min="11779" max="11779" width="4.625" style="297" customWidth="1"/>
    <col min="11780" max="11784" width="6.75" style="297" customWidth="1"/>
    <col min="11785" max="11785" width="15.75" style="297" bestFit="1" customWidth="1"/>
    <col min="11786" max="11786" width="6.75" style="297" customWidth="1"/>
    <col min="11787" max="11787" width="11.25" style="297" bestFit="1" customWidth="1"/>
    <col min="11788" max="11788" width="6" style="297" bestFit="1" customWidth="1"/>
    <col min="11789" max="11789" width="12.25" style="297" bestFit="1" customWidth="1"/>
    <col min="11790" max="11790" width="6" style="297" bestFit="1" customWidth="1"/>
    <col min="11791" max="11791" width="12.25" style="297" bestFit="1" customWidth="1"/>
    <col min="11792" max="11792" width="6" style="297" bestFit="1" customWidth="1"/>
    <col min="11793" max="11793" width="12.25" style="297" bestFit="1" customWidth="1"/>
    <col min="11794" max="11794" width="6" style="297" bestFit="1" customWidth="1"/>
    <col min="11795" max="11795" width="12.25" style="297" bestFit="1" customWidth="1"/>
    <col min="11796" max="11796" width="6" style="297" bestFit="1" customWidth="1"/>
    <col min="11797" max="11797" width="12.25" style="297" bestFit="1" customWidth="1"/>
    <col min="11798" max="11798" width="6" style="297" bestFit="1" customWidth="1"/>
    <col min="11799" max="12034" width="7.75" style="297"/>
    <col min="12035" max="12035" width="4.625" style="297" customWidth="1"/>
    <col min="12036" max="12040" width="6.75" style="297" customWidth="1"/>
    <col min="12041" max="12041" width="15.75" style="297" bestFit="1" customWidth="1"/>
    <col min="12042" max="12042" width="6.75" style="297" customWidth="1"/>
    <col min="12043" max="12043" width="11.25" style="297" bestFit="1" customWidth="1"/>
    <col min="12044" max="12044" width="6" style="297" bestFit="1" customWidth="1"/>
    <col min="12045" max="12045" width="12.25" style="297" bestFit="1" customWidth="1"/>
    <col min="12046" max="12046" width="6" style="297" bestFit="1" customWidth="1"/>
    <col min="12047" max="12047" width="12.25" style="297" bestFit="1" customWidth="1"/>
    <col min="12048" max="12048" width="6" style="297" bestFit="1" customWidth="1"/>
    <col min="12049" max="12049" width="12.25" style="297" bestFit="1" customWidth="1"/>
    <col min="12050" max="12050" width="6" style="297" bestFit="1" customWidth="1"/>
    <col min="12051" max="12051" width="12.25" style="297" bestFit="1" customWidth="1"/>
    <col min="12052" max="12052" width="6" style="297" bestFit="1" customWidth="1"/>
    <col min="12053" max="12053" width="12.25" style="297" bestFit="1" customWidth="1"/>
    <col min="12054" max="12054" width="6" style="297" bestFit="1" customWidth="1"/>
    <col min="12055" max="12290" width="7.75" style="297"/>
    <col min="12291" max="12291" width="4.625" style="297" customWidth="1"/>
    <col min="12292" max="12296" width="6.75" style="297" customWidth="1"/>
    <col min="12297" max="12297" width="15.75" style="297" bestFit="1" customWidth="1"/>
    <col min="12298" max="12298" width="6.75" style="297" customWidth="1"/>
    <col min="12299" max="12299" width="11.25" style="297" bestFit="1" customWidth="1"/>
    <col min="12300" max="12300" width="6" style="297" bestFit="1" customWidth="1"/>
    <col min="12301" max="12301" width="12.25" style="297" bestFit="1" customWidth="1"/>
    <col min="12302" max="12302" width="6" style="297" bestFit="1" customWidth="1"/>
    <col min="12303" max="12303" width="12.25" style="297" bestFit="1" customWidth="1"/>
    <col min="12304" max="12304" width="6" style="297" bestFit="1" customWidth="1"/>
    <col min="12305" max="12305" width="12.25" style="297" bestFit="1" customWidth="1"/>
    <col min="12306" max="12306" width="6" style="297" bestFit="1" customWidth="1"/>
    <col min="12307" max="12307" width="12.25" style="297" bestFit="1" customWidth="1"/>
    <col min="12308" max="12308" width="6" style="297" bestFit="1" customWidth="1"/>
    <col min="12309" max="12309" width="12.25" style="297" bestFit="1" customWidth="1"/>
    <col min="12310" max="12310" width="6" style="297" bestFit="1" customWidth="1"/>
    <col min="12311" max="12546" width="7.75" style="297"/>
    <col min="12547" max="12547" width="4.625" style="297" customWidth="1"/>
    <col min="12548" max="12552" width="6.75" style="297" customWidth="1"/>
    <col min="12553" max="12553" width="15.75" style="297" bestFit="1" customWidth="1"/>
    <col min="12554" max="12554" width="6.75" style="297" customWidth="1"/>
    <col min="12555" max="12555" width="11.25" style="297" bestFit="1" customWidth="1"/>
    <col min="12556" max="12556" width="6" style="297" bestFit="1" customWidth="1"/>
    <col min="12557" max="12557" width="12.25" style="297" bestFit="1" customWidth="1"/>
    <col min="12558" max="12558" width="6" style="297" bestFit="1" customWidth="1"/>
    <col min="12559" max="12559" width="12.25" style="297" bestFit="1" customWidth="1"/>
    <col min="12560" max="12560" width="6" style="297" bestFit="1" customWidth="1"/>
    <col min="12561" max="12561" width="12.25" style="297" bestFit="1" customWidth="1"/>
    <col min="12562" max="12562" width="6" style="297" bestFit="1" customWidth="1"/>
    <col min="12563" max="12563" width="12.25" style="297" bestFit="1" customWidth="1"/>
    <col min="12564" max="12564" width="6" style="297" bestFit="1" customWidth="1"/>
    <col min="12565" max="12565" width="12.25" style="297" bestFit="1" customWidth="1"/>
    <col min="12566" max="12566" width="6" style="297" bestFit="1" customWidth="1"/>
    <col min="12567" max="12802" width="7.75" style="297"/>
    <col min="12803" max="12803" width="4.625" style="297" customWidth="1"/>
    <col min="12804" max="12808" width="6.75" style="297" customWidth="1"/>
    <col min="12809" max="12809" width="15.75" style="297" bestFit="1" customWidth="1"/>
    <col min="12810" max="12810" width="6.75" style="297" customWidth="1"/>
    <col min="12811" max="12811" width="11.25" style="297" bestFit="1" customWidth="1"/>
    <col min="12812" max="12812" width="6" style="297" bestFit="1" customWidth="1"/>
    <col min="12813" max="12813" width="12.25" style="297" bestFit="1" customWidth="1"/>
    <col min="12814" max="12814" width="6" style="297" bestFit="1" customWidth="1"/>
    <col min="12815" max="12815" width="12.25" style="297" bestFit="1" customWidth="1"/>
    <col min="12816" max="12816" width="6" style="297" bestFit="1" customWidth="1"/>
    <col min="12817" max="12817" width="12.25" style="297" bestFit="1" customWidth="1"/>
    <col min="12818" max="12818" width="6" style="297" bestFit="1" customWidth="1"/>
    <col min="12819" max="12819" width="12.25" style="297" bestFit="1" customWidth="1"/>
    <col min="12820" max="12820" width="6" style="297" bestFit="1" customWidth="1"/>
    <col min="12821" max="12821" width="12.25" style="297" bestFit="1" customWidth="1"/>
    <col min="12822" max="12822" width="6" style="297" bestFit="1" customWidth="1"/>
    <col min="12823" max="13058" width="7.75" style="297"/>
    <col min="13059" max="13059" width="4.625" style="297" customWidth="1"/>
    <col min="13060" max="13064" width="6.75" style="297" customWidth="1"/>
    <col min="13065" max="13065" width="15.75" style="297" bestFit="1" customWidth="1"/>
    <col min="13066" max="13066" width="6.75" style="297" customWidth="1"/>
    <col min="13067" max="13067" width="11.25" style="297" bestFit="1" customWidth="1"/>
    <col min="13068" max="13068" width="6" style="297" bestFit="1" customWidth="1"/>
    <col min="13069" max="13069" width="12.25" style="297" bestFit="1" customWidth="1"/>
    <col min="13070" max="13070" width="6" style="297" bestFit="1" customWidth="1"/>
    <col min="13071" max="13071" width="12.25" style="297" bestFit="1" customWidth="1"/>
    <col min="13072" max="13072" width="6" style="297" bestFit="1" customWidth="1"/>
    <col min="13073" max="13073" width="12.25" style="297" bestFit="1" customWidth="1"/>
    <col min="13074" max="13074" width="6" style="297" bestFit="1" customWidth="1"/>
    <col min="13075" max="13075" width="12.25" style="297" bestFit="1" customWidth="1"/>
    <col min="13076" max="13076" width="6" style="297" bestFit="1" customWidth="1"/>
    <col min="13077" max="13077" width="12.25" style="297" bestFit="1" customWidth="1"/>
    <col min="13078" max="13078" width="6" style="297" bestFit="1" customWidth="1"/>
    <col min="13079" max="13314" width="7.75" style="297"/>
    <col min="13315" max="13315" width="4.625" style="297" customWidth="1"/>
    <col min="13316" max="13320" width="6.75" style="297" customWidth="1"/>
    <col min="13321" max="13321" width="15.75" style="297" bestFit="1" customWidth="1"/>
    <col min="13322" max="13322" width="6.75" style="297" customWidth="1"/>
    <col min="13323" max="13323" width="11.25" style="297" bestFit="1" customWidth="1"/>
    <col min="13324" max="13324" width="6" style="297" bestFit="1" customWidth="1"/>
    <col min="13325" max="13325" width="12.25" style="297" bestFit="1" customWidth="1"/>
    <col min="13326" max="13326" width="6" style="297" bestFit="1" customWidth="1"/>
    <col min="13327" max="13327" width="12.25" style="297" bestFit="1" customWidth="1"/>
    <col min="13328" max="13328" width="6" style="297" bestFit="1" customWidth="1"/>
    <col min="13329" max="13329" width="12.25" style="297" bestFit="1" customWidth="1"/>
    <col min="13330" max="13330" width="6" style="297" bestFit="1" customWidth="1"/>
    <col min="13331" max="13331" width="12.25" style="297" bestFit="1" customWidth="1"/>
    <col min="13332" max="13332" width="6" style="297" bestFit="1" customWidth="1"/>
    <col min="13333" max="13333" width="12.25" style="297" bestFit="1" customWidth="1"/>
    <col min="13334" max="13334" width="6" style="297" bestFit="1" customWidth="1"/>
    <col min="13335" max="13570" width="7.75" style="297"/>
    <col min="13571" max="13571" width="4.625" style="297" customWidth="1"/>
    <col min="13572" max="13576" width="6.75" style="297" customWidth="1"/>
    <col min="13577" max="13577" width="15.75" style="297" bestFit="1" customWidth="1"/>
    <col min="13578" max="13578" width="6.75" style="297" customWidth="1"/>
    <col min="13579" max="13579" width="11.25" style="297" bestFit="1" customWidth="1"/>
    <col min="13580" max="13580" width="6" style="297" bestFit="1" customWidth="1"/>
    <col min="13581" max="13581" width="12.25" style="297" bestFit="1" customWidth="1"/>
    <col min="13582" max="13582" width="6" style="297" bestFit="1" customWidth="1"/>
    <col min="13583" max="13583" width="12.25" style="297" bestFit="1" customWidth="1"/>
    <col min="13584" max="13584" width="6" style="297" bestFit="1" customWidth="1"/>
    <col min="13585" max="13585" width="12.25" style="297" bestFit="1" customWidth="1"/>
    <col min="13586" max="13586" width="6" style="297" bestFit="1" customWidth="1"/>
    <col min="13587" max="13587" width="12.25" style="297" bestFit="1" customWidth="1"/>
    <col min="13588" max="13588" width="6" style="297" bestFit="1" customWidth="1"/>
    <col min="13589" max="13589" width="12.25" style="297" bestFit="1" customWidth="1"/>
    <col min="13590" max="13590" width="6" style="297" bestFit="1" customWidth="1"/>
    <col min="13591" max="13826" width="7.75" style="297"/>
    <col min="13827" max="13827" width="4.625" style="297" customWidth="1"/>
    <col min="13828" max="13832" width="6.75" style="297" customWidth="1"/>
    <col min="13833" max="13833" width="15.75" style="297" bestFit="1" customWidth="1"/>
    <col min="13834" max="13834" width="6.75" style="297" customWidth="1"/>
    <col min="13835" max="13835" width="11.25" style="297" bestFit="1" customWidth="1"/>
    <col min="13836" max="13836" width="6" style="297" bestFit="1" customWidth="1"/>
    <col min="13837" max="13837" width="12.25" style="297" bestFit="1" customWidth="1"/>
    <col min="13838" max="13838" width="6" style="297" bestFit="1" customWidth="1"/>
    <col min="13839" max="13839" width="12.25" style="297" bestFit="1" customWidth="1"/>
    <col min="13840" max="13840" width="6" style="297" bestFit="1" customWidth="1"/>
    <col min="13841" max="13841" width="12.25" style="297" bestFit="1" customWidth="1"/>
    <col min="13842" max="13842" width="6" style="297" bestFit="1" customWidth="1"/>
    <col min="13843" max="13843" width="12.25" style="297" bestFit="1" customWidth="1"/>
    <col min="13844" max="13844" width="6" style="297" bestFit="1" customWidth="1"/>
    <col min="13845" max="13845" width="12.25" style="297" bestFit="1" customWidth="1"/>
    <col min="13846" max="13846" width="6" style="297" bestFit="1" customWidth="1"/>
    <col min="13847" max="14082" width="7.75" style="297"/>
    <col min="14083" max="14083" width="4.625" style="297" customWidth="1"/>
    <col min="14084" max="14088" width="6.75" style="297" customWidth="1"/>
    <col min="14089" max="14089" width="15.75" style="297" bestFit="1" customWidth="1"/>
    <col min="14090" max="14090" width="6.75" style="297" customWidth="1"/>
    <col min="14091" max="14091" width="11.25" style="297" bestFit="1" customWidth="1"/>
    <col min="14092" max="14092" width="6" style="297" bestFit="1" customWidth="1"/>
    <col min="14093" max="14093" width="12.25" style="297" bestFit="1" customWidth="1"/>
    <col min="14094" max="14094" width="6" style="297" bestFit="1" customWidth="1"/>
    <col min="14095" max="14095" width="12.25" style="297" bestFit="1" customWidth="1"/>
    <col min="14096" max="14096" width="6" style="297" bestFit="1" customWidth="1"/>
    <col min="14097" max="14097" width="12.25" style="297" bestFit="1" customWidth="1"/>
    <col min="14098" max="14098" width="6" style="297" bestFit="1" customWidth="1"/>
    <col min="14099" max="14099" width="12.25" style="297" bestFit="1" customWidth="1"/>
    <col min="14100" max="14100" width="6" style="297" bestFit="1" customWidth="1"/>
    <col min="14101" max="14101" width="12.25" style="297" bestFit="1" customWidth="1"/>
    <col min="14102" max="14102" width="6" style="297" bestFit="1" customWidth="1"/>
    <col min="14103" max="14338" width="7.75" style="297"/>
    <col min="14339" max="14339" width="4.625" style="297" customWidth="1"/>
    <col min="14340" max="14344" width="6.75" style="297" customWidth="1"/>
    <col min="14345" max="14345" width="15.75" style="297" bestFit="1" customWidth="1"/>
    <col min="14346" max="14346" width="6.75" style="297" customWidth="1"/>
    <col min="14347" max="14347" width="11.25" style="297" bestFit="1" customWidth="1"/>
    <col min="14348" max="14348" width="6" style="297" bestFit="1" customWidth="1"/>
    <col min="14349" max="14349" width="12.25" style="297" bestFit="1" customWidth="1"/>
    <col min="14350" max="14350" width="6" style="297" bestFit="1" customWidth="1"/>
    <col min="14351" max="14351" width="12.25" style="297" bestFit="1" customWidth="1"/>
    <col min="14352" max="14352" width="6" style="297" bestFit="1" customWidth="1"/>
    <col min="14353" max="14353" width="12.25" style="297" bestFit="1" customWidth="1"/>
    <col min="14354" max="14354" width="6" style="297" bestFit="1" customWidth="1"/>
    <col min="14355" max="14355" width="12.25" style="297" bestFit="1" customWidth="1"/>
    <col min="14356" max="14356" width="6" style="297" bestFit="1" customWidth="1"/>
    <col min="14357" max="14357" width="12.25" style="297" bestFit="1" customWidth="1"/>
    <col min="14358" max="14358" width="6" style="297" bestFit="1" customWidth="1"/>
    <col min="14359" max="14594" width="7.75" style="297"/>
    <col min="14595" max="14595" width="4.625" style="297" customWidth="1"/>
    <col min="14596" max="14600" width="6.75" style="297" customWidth="1"/>
    <col min="14601" max="14601" width="15.75" style="297" bestFit="1" customWidth="1"/>
    <col min="14602" max="14602" width="6.75" style="297" customWidth="1"/>
    <col min="14603" max="14603" width="11.25" style="297" bestFit="1" customWidth="1"/>
    <col min="14604" max="14604" width="6" style="297" bestFit="1" customWidth="1"/>
    <col min="14605" max="14605" width="12.25" style="297" bestFit="1" customWidth="1"/>
    <col min="14606" max="14606" width="6" style="297" bestFit="1" customWidth="1"/>
    <col min="14607" max="14607" width="12.25" style="297" bestFit="1" customWidth="1"/>
    <col min="14608" max="14608" width="6" style="297" bestFit="1" customWidth="1"/>
    <col min="14609" max="14609" width="12.25" style="297" bestFit="1" customWidth="1"/>
    <col min="14610" max="14610" width="6" style="297" bestFit="1" customWidth="1"/>
    <col min="14611" max="14611" width="12.25" style="297" bestFit="1" customWidth="1"/>
    <col min="14612" max="14612" width="6" style="297" bestFit="1" customWidth="1"/>
    <col min="14613" max="14613" width="12.25" style="297" bestFit="1" customWidth="1"/>
    <col min="14614" max="14614" width="6" style="297" bestFit="1" customWidth="1"/>
    <col min="14615" max="14850" width="7.75" style="297"/>
    <col min="14851" max="14851" width="4.625" style="297" customWidth="1"/>
    <col min="14852" max="14856" width="6.75" style="297" customWidth="1"/>
    <col min="14857" max="14857" width="15.75" style="297" bestFit="1" customWidth="1"/>
    <col min="14858" max="14858" width="6.75" style="297" customWidth="1"/>
    <col min="14859" max="14859" width="11.25" style="297" bestFit="1" customWidth="1"/>
    <col min="14860" max="14860" width="6" style="297" bestFit="1" customWidth="1"/>
    <col min="14861" max="14861" width="12.25" style="297" bestFit="1" customWidth="1"/>
    <col min="14862" max="14862" width="6" style="297" bestFit="1" customWidth="1"/>
    <col min="14863" max="14863" width="12.25" style="297" bestFit="1" customWidth="1"/>
    <col min="14864" max="14864" width="6" style="297" bestFit="1" customWidth="1"/>
    <col min="14865" max="14865" width="12.25" style="297" bestFit="1" customWidth="1"/>
    <col min="14866" max="14866" width="6" style="297" bestFit="1" customWidth="1"/>
    <col min="14867" max="14867" width="12.25" style="297" bestFit="1" customWidth="1"/>
    <col min="14868" max="14868" width="6" style="297" bestFit="1" customWidth="1"/>
    <col min="14869" max="14869" width="12.25" style="297" bestFit="1" customWidth="1"/>
    <col min="14870" max="14870" width="6" style="297" bestFit="1" customWidth="1"/>
    <col min="14871" max="15106" width="7.75" style="297"/>
    <col min="15107" max="15107" width="4.625" style="297" customWidth="1"/>
    <col min="15108" max="15112" width="6.75" style="297" customWidth="1"/>
    <col min="15113" max="15113" width="15.75" style="297" bestFit="1" customWidth="1"/>
    <col min="15114" max="15114" width="6.75" style="297" customWidth="1"/>
    <col min="15115" max="15115" width="11.25" style="297" bestFit="1" customWidth="1"/>
    <col min="15116" max="15116" width="6" style="297" bestFit="1" customWidth="1"/>
    <col min="15117" max="15117" width="12.25" style="297" bestFit="1" customWidth="1"/>
    <col min="15118" max="15118" width="6" style="297" bestFit="1" customWidth="1"/>
    <col min="15119" max="15119" width="12.25" style="297" bestFit="1" customWidth="1"/>
    <col min="15120" max="15120" width="6" style="297" bestFit="1" customWidth="1"/>
    <col min="15121" max="15121" width="12.25" style="297" bestFit="1" customWidth="1"/>
    <col min="15122" max="15122" width="6" style="297" bestFit="1" customWidth="1"/>
    <col min="15123" max="15123" width="12.25" style="297" bestFit="1" customWidth="1"/>
    <col min="15124" max="15124" width="6" style="297" bestFit="1" customWidth="1"/>
    <col min="15125" max="15125" width="12.25" style="297" bestFit="1" customWidth="1"/>
    <col min="15126" max="15126" width="6" style="297" bestFit="1" customWidth="1"/>
    <col min="15127" max="15362" width="7.75" style="297"/>
    <col min="15363" max="15363" width="4.625" style="297" customWidth="1"/>
    <col min="15364" max="15368" width="6.75" style="297" customWidth="1"/>
    <col min="15369" max="15369" width="15.75" style="297" bestFit="1" customWidth="1"/>
    <col min="15370" max="15370" width="6.75" style="297" customWidth="1"/>
    <col min="15371" max="15371" width="11.25" style="297" bestFit="1" customWidth="1"/>
    <col min="15372" max="15372" width="6" style="297" bestFit="1" customWidth="1"/>
    <col min="15373" max="15373" width="12.25" style="297" bestFit="1" customWidth="1"/>
    <col min="15374" max="15374" width="6" style="297" bestFit="1" customWidth="1"/>
    <col min="15375" max="15375" width="12.25" style="297" bestFit="1" customWidth="1"/>
    <col min="15376" max="15376" width="6" style="297" bestFit="1" customWidth="1"/>
    <col min="15377" max="15377" width="12.25" style="297" bestFit="1" customWidth="1"/>
    <col min="15378" max="15378" width="6" style="297" bestFit="1" customWidth="1"/>
    <col min="15379" max="15379" width="12.25" style="297" bestFit="1" customWidth="1"/>
    <col min="15380" max="15380" width="6" style="297" bestFit="1" customWidth="1"/>
    <col min="15381" max="15381" width="12.25" style="297" bestFit="1" customWidth="1"/>
    <col min="15382" max="15382" width="6" style="297" bestFit="1" customWidth="1"/>
    <col min="15383" max="15618" width="7.75" style="297"/>
    <col min="15619" max="15619" width="4.625" style="297" customWidth="1"/>
    <col min="15620" max="15624" width="6.75" style="297" customWidth="1"/>
    <col min="15625" max="15625" width="15.75" style="297" bestFit="1" customWidth="1"/>
    <col min="15626" max="15626" width="6.75" style="297" customWidth="1"/>
    <col min="15627" max="15627" width="11.25" style="297" bestFit="1" customWidth="1"/>
    <col min="15628" max="15628" width="6" style="297" bestFit="1" customWidth="1"/>
    <col min="15629" max="15629" width="12.25" style="297" bestFit="1" customWidth="1"/>
    <col min="15630" max="15630" width="6" style="297" bestFit="1" customWidth="1"/>
    <col min="15631" max="15631" width="12.25" style="297" bestFit="1" customWidth="1"/>
    <col min="15632" max="15632" width="6" style="297" bestFit="1" customWidth="1"/>
    <col min="15633" max="15633" width="12.25" style="297" bestFit="1" customWidth="1"/>
    <col min="15634" max="15634" width="6" style="297" bestFit="1" customWidth="1"/>
    <col min="15635" max="15635" width="12.25" style="297" bestFit="1" customWidth="1"/>
    <col min="15636" max="15636" width="6" style="297" bestFit="1" customWidth="1"/>
    <col min="15637" max="15637" width="12.25" style="297" bestFit="1" customWidth="1"/>
    <col min="15638" max="15638" width="6" style="297" bestFit="1" customWidth="1"/>
    <col min="15639" max="15874" width="7.75" style="297"/>
    <col min="15875" max="15875" width="4.625" style="297" customWidth="1"/>
    <col min="15876" max="15880" width="6.75" style="297" customWidth="1"/>
    <col min="15881" max="15881" width="15.75" style="297" bestFit="1" customWidth="1"/>
    <col min="15882" max="15882" width="6.75" style="297" customWidth="1"/>
    <col min="15883" max="15883" width="11.25" style="297" bestFit="1" customWidth="1"/>
    <col min="15884" max="15884" width="6" style="297" bestFit="1" customWidth="1"/>
    <col min="15885" max="15885" width="12.25" style="297" bestFit="1" customWidth="1"/>
    <col min="15886" max="15886" width="6" style="297" bestFit="1" customWidth="1"/>
    <col min="15887" max="15887" width="12.25" style="297" bestFit="1" customWidth="1"/>
    <col min="15888" max="15888" width="6" style="297" bestFit="1" customWidth="1"/>
    <col min="15889" max="15889" width="12.25" style="297" bestFit="1" customWidth="1"/>
    <col min="15890" max="15890" width="6" style="297" bestFit="1" customWidth="1"/>
    <col min="15891" max="15891" width="12.25" style="297" bestFit="1" customWidth="1"/>
    <col min="15892" max="15892" width="6" style="297" bestFit="1" customWidth="1"/>
    <col min="15893" max="15893" width="12.25" style="297" bestFit="1" customWidth="1"/>
    <col min="15894" max="15894" width="6" style="297" bestFit="1" customWidth="1"/>
    <col min="15895" max="16130" width="7.75" style="297"/>
    <col min="16131" max="16131" width="4.625" style="297" customWidth="1"/>
    <col min="16132" max="16136" width="6.75" style="297" customWidth="1"/>
    <col min="16137" max="16137" width="15.75" style="297" bestFit="1" customWidth="1"/>
    <col min="16138" max="16138" width="6.75" style="297" customWidth="1"/>
    <col min="16139" max="16139" width="11.25" style="297" bestFit="1" customWidth="1"/>
    <col min="16140" max="16140" width="6" style="297" bestFit="1" customWidth="1"/>
    <col min="16141" max="16141" width="12.25" style="297" bestFit="1" customWidth="1"/>
    <col min="16142" max="16142" width="6" style="297" bestFit="1" customWidth="1"/>
    <col min="16143" max="16143" width="12.25" style="297" bestFit="1" customWidth="1"/>
    <col min="16144" max="16144" width="6" style="297" bestFit="1" customWidth="1"/>
    <col min="16145" max="16145" width="12.25" style="297" bestFit="1" customWidth="1"/>
    <col min="16146" max="16146" width="6" style="297" bestFit="1" customWidth="1"/>
    <col min="16147" max="16147" width="12.25" style="297" bestFit="1" customWidth="1"/>
    <col min="16148" max="16148" width="6" style="297" bestFit="1" customWidth="1"/>
    <col min="16149" max="16149" width="12.25" style="297" bestFit="1" customWidth="1"/>
    <col min="16150" max="16150" width="6" style="297" bestFit="1" customWidth="1"/>
    <col min="16151" max="16384" width="7.75" style="297"/>
  </cols>
  <sheetData>
    <row r="1" spans="1:33" ht="4.9000000000000004" customHeight="1" x14ac:dyDescent="0.3"/>
    <row r="2" spans="1:33" x14ac:dyDescent="0.3">
      <c r="A2" s="532"/>
      <c r="B2" s="533"/>
      <c r="C2" s="533"/>
      <c r="D2" s="533"/>
      <c r="E2" s="533"/>
      <c r="F2" s="533"/>
      <c r="G2" s="533"/>
      <c r="H2" s="533"/>
      <c r="I2" s="536" t="s">
        <v>1044</v>
      </c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6"/>
      <c r="AF2" s="537"/>
    </row>
    <row r="3" spans="1:33" x14ac:dyDescent="0.3">
      <c r="A3" s="534"/>
      <c r="B3" s="535"/>
      <c r="C3" s="535"/>
      <c r="D3" s="535"/>
      <c r="E3" s="535"/>
      <c r="F3" s="535"/>
      <c r="G3" s="535"/>
      <c r="H3" s="535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9"/>
    </row>
    <row r="4" spans="1:33" x14ac:dyDescent="0.3">
      <c r="A4" s="534"/>
      <c r="B4" s="535"/>
      <c r="C4" s="535"/>
      <c r="D4" s="535"/>
      <c r="E4" s="535"/>
      <c r="F4" s="535"/>
      <c r="G4" s="535"/>
      <c r="H4" s="535"/>
      <c r="I4" s="540" t="s">
        <v>1059</v>
      </c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298"/>
      <c r="AC4" s="299"/>
      <c r="AD4" s="375"/>
      <c r="AE4" s="376"/>
      <c r="AF4" s="300"/>
    </row>
    <row r="5" spans="1:33" x14ac:dyDescent="0.3">
      <c r="A5" s="534"/>
      <c r="B5" s="535"/>
      <c r="C5" s="535"/>
      <c r="D5" s="535"/>
      <c r="E5" s="535"/>
      <c r="F5" s="535"/>
      <c r="G5" s="535"/>
      <c r="H5" s="535"/>
      <c r="I5" s="541" t="s">
        <v>990</v>
      </c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2"/>
      <c r="AC5" s="542"/>
      <c r="AD5" s="542"/>
      <c r="AE5" s="542"/>
      <c r="AF5" s="543"/>
    </row>
    <row r="6" spans="1:33" x14ac:dyDescent="0.3">
      <c r="A6" s="524" t="s">
        <v>986</v>
      </c>
      <c r="B6" s="535"/>
      <c r="C6" s="535"/>
      <c r="D6" s="535"/>
      <c r="E6" s="535"/>
      <c r="F6" s="535"/>
      <c r="G6" s="535"/>
      <c r="H6" s="535"/>
      <c r="I6" s="540" t="s">
        <v>1060</v>
      </c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0"/>
      <c r="V6" s="540"/>
      <c r="W6" s="540"/>
      <c r="X6" s="540"/>
      <c r="Y6" s="540"/>
      <c r="Z6" s="540"/>
      <c r="AA6" s="540"/>
      <c r="AB6" s="298"/>
      <c r="AC6" s="301"/>
      <c r="AD6" s="376"/>
      <c r="AE6" s="377"/>
      <c r="AF6" s="302"/>
      <c r="AG6" s="303"/>
    </row>
    <row r="7" spans="1:33" x14ac:dyDescent="0.3">
      <c r="A7" s="544" t="s">
        <v>987</v>
      </c>
      <c r="B7" s="545"/>
      <c r="C7" s="545"/>
      <c r="D7" s="545"/>
      <c r="E7" s="545"/>
      <c r="F7" s="545"/>
      <c r="G7" s="545"/>
      <c r="H7" s="545"/>
      <c r="I7" s="541" t="s">
        <v>992</v>
      </c>
      <c r="J7" s="541"/>
      <c r="K7" s="541"/>
      <c r="L7" s="541"/>
      <c r="M7" s="541"/>
      <c r="N7" s="541"/>
      <c r="O7" s="541"/>
      <c r="P7" s="541"/>
      <c r="Q7" s="541"/>
      <c r="R7" s="541"/>
      <c r="S7" s="541"/>
      <c r="T7" s="541"/>
      <c r="U7" s="541"/>
      <c r="V7" s="541"/>
      <c r="W7" s="541"/>
      <c r="X7" s="541"/>
      <c r="Y7" s="541"/>
      <c r="Z7" s="541"/>
      <c r="AA7" s="541"/>
      <c r="AB7" s="546"/>
      <c r="AC7" s="546"/>
      <c r="AD7" s="546"/>
      <c r="AE7" s="547"/>
      <c r="AF7" s="548"/>
      <c r="AG7" s="303"/>
    </row>
    <row r="8" spans="1:33" x14ac:dyDescent="0.3">
      <c r="A8" s="544" t="s">
        <v>988</v>
      </c>
      <c r="B8" s="545"/>
      <c r="C8" s="545"/>
      <c r="D8" s="545"/>
      <c r="E8" s="545"/>
      <c r="F8" s="545"/>
      <c r="G8" s="545"/>
      <c r="H8" s="545"/>
      <c r="I8" s="540"/>
      <c r="J8" s="540"/>
      <c r="K8" s="540"/>
      <c r="L8" s="540"/>
      <c r="M8" s="540"/>
      <c r="N8" s="540"/>
      <c r="O8" s="540"/>
      <c r="P8" s="540"/>
      <c r="Q8" s="540"/>
      <c r="R8" s="540"/>
      <c r="S8" s="540"/>
      <c r="T8" s="540"/>
      <c r="U8" s="540"/>
      <c r="V8" s="540"/>
      <c r="W8" s="540"/>
      <c r="X8" s="540"/>
      <c r="Y8" s="540"/>
      <c r="Z8" s="540"/>
      <c r="AA8" s="540"/>
      <c r="AB8" s="304"/>
      <c r="AC8" s="305"/>
      <c r="AD8" s="378"/>
      <c r="AE8" s="379"/>
      <c r="AF8" s="306"/>
      <c r="AG8" s="303"/>
    </row>
    <row r="9" spans="1:33" x14ac:dyDescent="0.3">
      <c r="A9" s="529"/>
      <c r="B9" s="530"/>
      <c r="C9" s="530"/>
      <c r="D9" s="530"/>
      <c r="E9" s="530"/>
      <c r="F9" s="530"/>
      <c r="G9" s="530"/>
      <c r="H9" s="530"/>
      <c r="I9" s="531"/>
      <c r="J9" s="531"/>
      <c r="K9" s="531"/>
      <c r="L9" s="531"/>
      <c r="M9" s="531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Z9" s="531"/>
      <c r="AA9" s="531"/>
      <c r="AB9" s="307"/>
      <c r="AC9" s="308"/>
      <c r="AD9" s="308"/>
      <c r="AE9" s="308"/>
      <c r="AF9" s="309"/>
    </row>
    <row r="10" spans="1:33" ht="4.9000000000000004" customHeight="1" x14ac:dyDescent="0.3">
      <c r="A10" s="310"/>
      <c r="B10" s="310"/>
      <c r="C10" s="310"/>
      <c r="D10" s="310"/>
      <c r="E10" s="310"/>
      <c r="F10" s="310"/>
      <c r="G10" s="310"/>
      <c r="H10" s="310"/>
      <c r="I10" s="311"/>
      <c r="J10" s="311"/>
      <c r="K10" s="311"/>
      <c r="L10" s="311"/>
      <c r="M10" s="311"/>
      <c r="N10" s="311"/>
      <c r="O10" s="311"/>
      <c r="P10" s="311"/>
      <c r="Q10" s="312"/>
      <c r="R10" s="312"/>
      <c r="S10" s="313"/>
      <c r="T10" s="313"/>
      <c r="U10" s="312"/>
      <c r="V10" s="312"/>
      <c r="W10" s="313"/>
      <c r="X10" s="313"/>
      <c r="Y10" s="313"/>
      <c r="Z10" s="313"/>
      <c r="AA10" s="312"/>
      <c r="AB10" s="312"/>
      <c r="AC10" s="313"/>
      <c r="AD10" s="313"/>
      <c r="AE10" s="313"/>
      <c r="AF10" s="313"/>
    </row>
    <row r="11" spans="1:33" ht="19.899999999999999" customHeight="1" x14ac:dyDescent="0.3">
      <c r="A11" s="516" t="s">
        <v>1045</v>
      </c>
      <c r="B11" s="517"/>
      <c r="C11" s="517"/>
      <c r="D11" s="518" t="s">
        <v>1008</v>
      </c>
      <c r="E11" s="518"/>
      <c r="F11" s="518"/>
      <c r="G11" s="518"/>
      <c r="H11" s="518"/>
      <c r="I11" s="518"/>
      <c r="J11" s="518"/>
      <c r="K11" s="518"/>
      <c r="L11" s="518"/>
      <c r="M11" s="518"/>
      <c r="N11" s="518"/>
      <c r="O11" s="518"/>
      <c r="P11" s="518"/>
      <c r="Q11" s="518"/>
      <c r="R11" s="518"/>
      <c r="S11" s="518"/>
      <c r="T11" s="518"/>
      <c r="U11" s="518"/>
      <c r="V11" s="518"/>
      <c r="W11" s="518"/>
      <c r="X11" s="518"/>
      <c r="Y11" s="518"/>
      <c r="Z11" s="518"/>
      <c r="AA11" s="518"/>
      <c r="AB11" s="518"/>
      <c r="AC11" s="518"/>
      <c r="AD11" s="518"/>
      <c r="AE11" s="518"/>
      <c r="AF11" s="519"/>
    </row>
    <row r="12" spans="1:33" ht="4.9000000000000004" customHeight="1" x14ac:dyDescent="0.3">
      <c r="A12" s="314"/>
      <c r="B12" s="315"/>
      <c r="C12" s="316"/>
      <c r="D12" s="316"/>
      <c r="E12" s="316"/>
      <c r="F12" s="316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</row>
    <row r="13" spans="1:33" ht="15" customHeight="1" x14ac:dyDescent="0.3">
      <c r="A13" s="520" t="s">
        <v>0</v>
      </c>
      <c r="B13" s="513" t="s">
        <v>1046</v>
      </c>
      <c r="C13" s="513"/>
      <c r="D13" s="513"/>
      <c r="E13" s="513"/>
      <c r="F13" s="513"/>
      <c r="G13" s="523" t="s">
        <v>1126</v>
      </c>
      <c r="H13" s="526" t="s">
        <v>1047</v>
      </c>
      <c r="I13" s="513" t="s">
        <v>1048</v>
      </c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3"/>
      <c r="U13" s="513"/>
      <c r="V13" s="513"/>
      <c r="W13" s="513"/>
      <c r="X13" s="513"/>
      <c r="Y13" s="513"/>
      <c r="Z13" s="513"/>
      <c r="AA13" s="513"/>
      <c r="AB13" s="513"/>
      <c r="AC13" s="513"/>
      <c r="AD13" s="513"/>
      <c r="AE13" s="513"/>
      <c r="AF13" s="513"/>
      <c r="AG13" s="318"/>
    </row>
    <row r="14" spans="1:33" ht="15" customHeight="1" x14ac:dyDescent="0.3">
      <c r="A14" s="521"/>
      <c r="B14" s="513"/>
      <c r="C14" s="513"/>
      <c r="D14" s="513"/>
      <c r="E14" s="513"/>
      <c r="F14" s="513"/>
      <c r="G14" s="524"/>
      <c r="H14" s="527"/>
      <c r="I14" s="513" t="s">
        <v>1049</v>
      </c>
      <c r="J14" s="513"/>
      <c r="K14" s="513" t="s">
        <v>1050</v>
      </c>
      <c r="L14" s="513"/>
      <c r="M14" s="513" t="s">
        <v>1051</v>
      </c>
      <c r="N14" s="513"/>
      <c r="O14" s="513" t="s">
        <v>1052</v>
      </c>
      <c r="P14" s="513"/>
      <c r="Q14" s="513" t="s">
        <v>1053</v>
      </c>
      <c r="R14" s="513"/>
      <c r="S14" s="513" t="s">
        <v>1054</v>
      </c>
      <c r="T14" s="513"/>
      <c r="U14" s="513" t="s">
        <v>1127</v>
      </c>
      <c r="V14" s="513"/>
      <c r="W14" s="513" t="s">
        <v>1128</v>
      </c>
      <c r="X14" s="513"/>
      <c r="Y14" s="513" t="s">
        <v>1129</v>
      </c>
      <c r="Z14" s="513"/>
      <c r="AA14" s="513" t="s">
        <v>1130</v>
      </c>
      <c r="AB14" s="513"/>
      <c r="AC14" s="513" t="s">
        <v>1131</v>
      </c>
      <c r="AD14" s="513"/>
      <c r="AE14" s="513" t="s">
        <v>1192</v>
      </c>
      <c r="AF14" s="513"/>
    </row>
    <row r="15" spans="1:33" ht="15" customHeight="1" x14ac:dyDescent="0.3">
      <c r="A15" s="522"/>
      <c r="B15" s="513"/>
      <c r="C15" s="513"/>
      <c r="D15" s="513"/>
      <c r="E15" s="513"/>
      <c r="F15" s="513"/>
      <c r="G15" s="525"/>
      <c r="H15" s="528"/>
      <c r="I15" s="319" t="s">
        <v>1055</v>
      </c>
      <c r="J15" s="319" t="s">
        <v>1056</v>
      </c>
      <c r="K15" s="319" t="s">
        <v>1055</v>
      </c>
      <c r="L15" s="319" t="s">
        <v>1056</v>
      </c>
      <c r="M15" s="319" t="s">
        <v>1055</v>
      </c>
      <c r="N15" s="319" t="s">
        <v>1056</v>
      </c>
      <c r="O15" s="319" t="s">
        <v>1055</v>
      </c>
      <c r="P15" s="319" t="s">
        <v>1056</v>
      </c>
      <c r="Q15" s="319" t="s">
        <v>1055</v>
      </c>
      <c r="R15" s="319" t="s">
        <v>1056</v>
      </c>
      <c r="S15" s="319" t="s">
        <v>1055</v>
      </c>
      <c r="T15" s="319" t="s">
        <v>1056</v>
      </c>
      <c r="U15" s="319" t="s">
        <v>1055</v>
      </c>
      <c r="V15" s="319" t="s">
        <v>1056</v>
      </c>
      <c r="W15" s="319" t="s">
        <v>1055</v>
      </c>
      <c r="X15" s="319" t="s">
        <v>1056</v>
      </c>
      <c r="Y15" s="319" t="s">
        <v>1055</v>
      </c>
      <c r="Z15" s="319" t="s">
        <v>1056</v>
      </c>
      <c r="AA15" s="319" t="s">
        <v>1055</v>
      </c>
      <c r="AB15" s="319" t="s">
        <v>1056</v>
      </c>
      <c r="AC15" s="372" t="s">
        <v>1055</v>
      </c>
      <c r="AD15" s="372" t="s">
        <v>1056</v>
      </c>
      <c r="AE15" s="319" t="s">
        <v>1055</v>
      </c>
      <c r="AF15" s="319" t="s">
        <v>1056</v>
      </c>
    </row>
    <row r="16" spans="1:33" x14ac:dyDescent="0.3">
      <c r="A16" s="320">
        <v>1</v>
      </c>
      <c r="B16" s="514" t="str">
        <f>'ORÇ - COMPLETO LOTE 01'!A18</f>
        <v>1 - DEMOLIÇÕES, ESCAVAÇÕES, REMOÇÃO E DESTINAÇÃO DE ENTULHOS</v>
      </c>
      <c r="C16" s="514"/>
      <c r="D16" s="514"/>
      <c r="E16" s="514"/>
      <c r="F16" s="514"/>
      <c r="G16" s="321">
        <f>'ORÇ - COMPLETO LOTE 01'!K18</f>
        <v>12729.63651697</v>
      </c>
      <c r="H16" s="322">
        <f>G16/$G$33</f>
        <v>1.521856488914573E-2</v>
      </c>
      <c r="I16" s="323">
        <f>J16*G16</f>
        <v>9547.2273877275002</v>
      </c>
      <c r="J16" s="324">
        <v>0.75</v>
      </c>
      <c r="K16" s="323">
        <f>L16*G16</f>
        <v>1272.9636516970002</v>
      </c>
      <c r="L16" s="324">
        <v>0.1</v>
      </c>
      <c r="M16" s="323">
        <f>N16*G16</f>
        <v>1272.9636516970002</v>
      </c>
      <c r="N16" s="324">
        <v>0.1</v>
      </c>
      <c r="O16" s="323">
        <f>P16*G16</f>
        <v>636.48182584850008</v>
      </c>
      <c r="P16" s="324">
        <v>0.05</v>
      </c>
      <c r="Q16" s="323">
        <f>R16*$G16</f>
        <v>0</v>
      </c>
      <c r="R16" s="324"/>
      <c r="S16" s="323">
        <f>T16*$G16</f>
        <v>0</v>
      </c>
      <c r="T16" s="324"/>
      <c r="U16" s="323">
        <f>V16*$G16</f>
        <v>0</v>
      </c>
      <c r="V16" s="324"/>
      <c r="W16" s="323">
        <f>X16*$G16</f>
        <v>0</v>
      </c>
      <c r="X16" s="324"/>
      <c r="Y16" s="323">
        <f>Z16*$G16</f>
        <v>0</v>
      </c>
      <c r="Z16" s="324"/>
      <c r="AA16" s="323">
        <f>AB16*$G16</f>
        <v>0</v>
      </c>
      <c r="AB16" s="324"/>
      <c r="AC16" s="323">
        <f>AD16*$G16</f>
        <v>0</v>
      </c>
      <c r="AD16" s="324"/>
      <c r="AE16" s="323">
        <f>AF16*$G16</f>
        <v>0</v>
      </c>
      <c r="AF16" s="324"/>
      <c r="AG16" s="325">
        <f>J16+L16+N16+P16+R16+T16+V16+X16+Z16+AB16+AF16+AD16</f>
        <v>1</v>
      </c>
    </row>
    <row r="17" spans="1:33" ht="16.149999999999999" customHeight="1" x14ac:dyDescent="0.3">
      <c r="A17" s="326">
        <v>2</v>
      </c>
      <c r="B17" s="515" t="str">
        <f>'ORÇ - COMPLETO LOTE 01'!A46</f>
        <v>2 - RAMPA PCD - CONTENÇÃO, PAVIMENTAÇÃO, PROTEÇÕES E ACABAMENTOS</v>
      </c>
      <c r="C17" s="515"/>
      <c r="D17" s="515"/>
      <c r="E17" s="515"/>
      <c r="F17" s="515"/>
      <c r="G17" s="327">
        <f>'ORÇ - COMPLETO LOTE 01'!K46</f>
        <v>83954.116277430003</v>
      </c>
      <c r="H17" s="328">
        <f>G17/$G$33</f>
        <v>0.1003690218943559</v>
      </c>
      <c r="I17" s="329">
        <f>J17*G17</f>
        <v>20988.529069357501</v>
      </c>
      <c r="J17" s="330">
        <v>0.25</v>
      </c>
      <c r="K17" s="329">
        <f>L17*G17</f>
        <v>20988.529069357501</v>
      </c>
      <c r="L17" s="330">
        <v>0.25</v>
      </c>
      <c r="M17" s="329">
        <f>N17*G17</f>
        <v>20988.529069357501</v>
      </c>
      <c r="N17" s="330">
        <v>0.25</v>
      </c>
      <c r="O17" s="329">
        <f>P17*G17</f>
        <v>12593.1174416145</v>
      </c>
      <c r="P17" s="330">
        <v>0.15</v>
      </c>
      <c r="Q17" s="329">
        <f>R17*$G17</f>
        <v>0</v>
      </c>
      <c r="R17" s="330"/>
      <c r="S17" s="329">
        <f>T17*$G17</f>
        <v>0</v>
      </c>
      <c r="T17" s="330"/>
      <c r="U17" s="329">
        <f>V17*$G17</f>
        <v>0</v>
      </c>
      <c r="V17" s="330"/>
      <c r="W17" s="329">
        <f>X17*$G17</f>
        <v>0</v>
      </c>
      <c r="X17" s="330"/>
      <c r="Y17" s="329">
        <f>Z17*$G17</f>
        <v>0</v>
      </c>
      <c r="Z17" s="330"/>
      <c r="AA17" s="329">
        <f>AB17*$G17</f>
        <v>0</v>
      </c>
      <c r="AB17" s="330"/>
      <c r="AC17" s="329">
        <f>AD17*$G17</f>
        <v>0</v>
      </c>
      <c r="AD17" s="330"/>
      <c r="AE17" s="329">
        <f>AF17*$G17</f>
        <v>8395.4116277430003</v>
      </c>
      <c r="AF17" s="330">
        <v>0.1</v>
      </c>
      <c r="AG17" s="325">
        <f t="shared" ref="AG17:AG33" si="0">J17+L17+N17+P17+R17+T17+V17+X17+Z17+AB17+AF17+AD17</f>
        <v>1</v>
      </c>
    </row>
    <row r="18" spans="1:33" s="332" customFormat="1" ht="16.149999999999999" customHeight="1" x14ac:dyDescent="0.3">
      <c r="A18" s="320">
        <v>3</v>
      </c>
      <c r="B18" s="497" t="str">
        <f>'ORÇ - COMPLETO LOTE 01'!A70</f>
        <v>3 - CALÇADAS E ESCADAS DE ACESSO EXTERNAS - PISO PODOTÁTIL, SINALIZAÇÕES, PROTEÇÕES E ACABAMENTOS</v>
      </c>
      <c r="C18" s="497"/>
      <c r="D18" s="497"/>
      <c r="E18" s="497"/>
      <c r="F18" s="497"/>
      <c r="G18" s="331">
        <f>'ORÇ - COMPLETO LOTE 01'!K70</f>
        <v>45853.361758546802</v>
      </c>
      <c r="H18" s="322">
        <f t="shared" ref="H18:H32" si="1">G18/$G$33</f>
        <v>5.4818718537457387E-2</v>
      </c>
      <c r="I18" s="323">
        <f t="shared" ref="I18:I32" si="2">J18*G18</f>
        <v>11463.3404396367</v>
      </c>
      <c r="J18" s="324">
        <v>0.25</v>
      </c>
      <c r="K18" s="323">
        <f t="shared" ref="K18:K32" si="3">L18*G18</f>
        <v>11463.3404396367</v>
      </c>
      <c r="L18" s="324">
        <v>0.25</v>
      </c>
      <c r="M18" s="323">
        <f t="shared" ref="M18:M32" si="4">N18*G18</f>
        <v>11463.3404396367</v>
      </c>
      <c r="N18" s="324">
        <v>0.25</v>
      </c>
      <c r="O18" s="323">
        <f t="shared" ref="O18:O32" si="5">P18*G18</f>
        <v>6878.0042637820197</v>
      </c>
      <c r="P18" s="324">
        <v>0.15</v>
      </c>
      <c r="Q18" s="323">
        <f t="shared" ref="Q18:Q32" si="6">R18*$G18</f>
        <v>0</v>
      </c>
      <c r="R18" s="324"/>
      <c r="S18" s="323">
        <f t="shared" ref="S18:S32" si="7">T18*$G18</f>
        <v>0</v>
      </c>
      <c r="T18" s="324"/>
      <c r="U18" s="323">
        <f t="shared" ref="U18:U32" si="8">V18*$G18</f>
        <v>0</v>
      </c>
      <c r="V18" s="324"/>
      <c r="W18" s="323">
        <f t="shared" ref="W18:W32" si="9">X18*$G18</f>
        <v>0</v>
      </c>
      <c r="X18" s="324"/>
      <c r="Y18" s="323">
        <f t="shared" ref="Y18:Y32" si="10">Z18*$G18</f>
        <v>0</v>
      </c>
      <c r="Z18" s="324"/>
      <c r="AA18" s="323">
        <f t="shared" ref="AA18:AA32" si="11">AB18*$G18</f>
        <v>0</v>
      </c>
      <c r="AB18" s="324"/>
      <c r="AC18" s="323">
        <f t="shared" ref="AC18:AC32" si="12">AD18*$G18</f>
        <v>0</v>
      </c>
      <c r="AD18" s="324"/>
      <c r="AE18" s="323">
        <f t="shared" ref="AE18:AE32" si="13">AF18*$G18</f>
        <v>4585.3361758546807</v>
      </c>
      <c r="AF18" s="324">
        <v>0.1</v>
      </c>
      <c r="AG18" s="325">
        <f t="shared" si="0"/>
        <v>1</v>
      </c>
    </row>
    <row r="19" spans="1:33" s="334" customFormat="1" ht="16.149999999999999" customHeight="1" x14ac:dyDescent="0.3">
      <c r="A19" s="326">
        <v>4</v>
      </c>
      <c r="B19" s="498" t="str">
        <f>'ORÇ - COMPLETO LOTE 01'!A100</f>
        <v>4 - ESTACIONAMENTO PCD E ÁREA DE MANOBRA - PAVIMENTAÇÃO E DEMARCAÇÕES</v>
      </c>
      <c r="C19" s="498"/>
      <c r="D19" s="498"/>
      <c r="E19" s="498"/>
      <c r="F19" s="498"/>
      <c r="G19" s="333">
        <f>'ORÇ - COMPLETO LOTE 01'!K100</f>
        <v>10070.122889800001</v>
      </c>
      <c r="H19" s="328">
        <f t="shared" si="1"/>
        <v>1.2039056923250732E-2</v>
      </c>
      <c r="I19" s="329">
        <f t="shared" si="2"/>
        <v>0</v>
      </c>
      <c r="J19" s="330"/>
      <c r="K19" s="329">
        <f t="shared" si="3"/>
        <v>2517.5307224500002</v>
      </c>
      <c r="L19" s="330">
        <v>0.25</v>
      </c>
      <c r="M19" s="329">
        <f t="shared" si="4"/>
        <v>2517.5307224500002</v>
      </c>
      <c r="N19" s="330">
        <v>0.25</v>
      </c>
      <c r="O19" s="329">
        <f t="shared" si="5"/>
        <v>2517.5307224500002</v>
      </c>
      <c r="P19" s="330">
        <v>0.25</v>
      </c>
      <c r="Q19" s="329">
        <f t="shared" si="6"/>
        <v>1510.51843347</v>
      </c>
      <c r="R19" s="330">
        <v>0.15</v>
      </c>
      <c r="S19" s="329">
        <f t="shared" si="7"/>
        <v>0</v>
      </c>
      <c r="T19" s="330"/>
      <c r="U19" s="329">
        <f t="shared" si="8"/>
        <v>0</v>
      </c>
      <c r="V19" s="330"/>
      <c r="W19" s="329">
        <f t="shared" si="9"/>
        <v>0</v>
      </c>
      <c r="X19" s="330"/>
      <c r="Y19" s="329">
        <f t="shared" si="10"/>
        <v>0</v>
      </c>
      <c r="Z19" s="330"/>
      <c r="AA19" s="329">
        <f t="shared" si="11"/>
        <v>0</v>
      </c>
      <c r="AB19" s="330"/>
      <c r="AC19" s="329">
        <f t="shared" si="12"/>
        <v>0</v>
      </c>
      <c r="AD19" s="330"/>
      <c r="AE19" s="329">
        <f t="shared" si="13"/>
        <v>1007.0122889800001</v>
      </c>
      <c r="AF19" s="330">
        <v>0.1</v>
      </c>
      <c r="AG19" s="325">
        <f t="shared" si="0"/>
        <v>1</v>
      </c>
    </row>
    <row r="20" spans="1:33" s="332" customFormat="1" ht="16.149999999999999" customHeight="1" x14ac:dyDescent="0.3">
      <c r="A20" s="320">
        <v>5</v>
      </c>
      <c r="B20" s="497" t="str">
        <f>'ORÇ - COMPLETO LOTE 01'!A112</f>
        <v>5 - WC MASCULINO</v>
      </c>
      <c r="C20" s="497"/>
      <c r="D20" s="497"/>
      <c r="E20" s="497"/>
      <c r="F20" s="497"/>
      <c r="G20" s="331">
        <f>'ORÇ - COMPLETO LOTE 01'!K112</f>
        <v>25676.327215729998</v>
      </c>
      <c r="H20" s="322">
        <f t="shared" si="1"/>
        <v>3.0696622902516013E-2</v>
      </c>
      <c r="I20" s="323">
        <f t="shared" si="2"/>
        <v>0</v>
      </c>
      <c r="J20" s="324"/>
      <c r="K20" s="323">
        <f t="shared" si="3"/>
        <v>0</v>
      </c>
      <c r="L20" s="324"/>
      <c r="M20" s="323">
        <f t="shared" si="4"/>
        <v>0</v>
      </c>
      <c r="N20" s="324"/>
      <c r="O20" s="323">
        <f t="shared" si="5"/>
        <v>6419.0818039324995</v>
      </c>
      <c r="P20" s="324">
        <v>0.25</v>
      </c>
      <c r="Q20" s="323">
        <f t="shared" si="6"/>
        <v>6419.0818039324995</v>
      </c>
      <c r="R20" s="324">
        <v>0.25</v>
      </c>
      <c r="S20" s="323">
        <f t="shared" si="7"/>
        <v>3851.4490823594997</v>
      </c>
      <c r="T20" s="324">
        <v>0.15</v>
      </c>
      <c r="U20" s="323">
        <f t="shared" si="8"/>
        <v>3851.4490823594997</v>
      </c>
      <c r="V20" s="324">
        <v>0.15</v>
      </c>
      <c r="W20" s="323">
        <f t="shared" si="9"/>
        <v>2567.6327215729998</v>
      </c>
      <c r="X20" s="324">
        <v>0.1</v>
      </c>
      <c r="Y20" s="323">
        <f t="shared" si="10"/>
        <v>0</v>
      </c>
      <c r="Z20" s="324"/>
      <c r="AA20" s="323">
        <f t="shared" si="11"/>
        <v>0</v>
      </c>
      <c r="AB20" s="324"/>
      <c r="AC20" s="323">
        <f t="shared" si="12"/>
        <v>0</v>
      </c>
      <c r="AD20" s="324"/>
      <c r="AE20" s="323">
        <f t="shared" si="13"/>
        <v>2567.6327215729998</v>
      </c>
      <c r="AF20" s="324">
        <v>0.1</v>
      </c>
      <c r="AG20" s="325">
        <f t="shared" si="0"/>
        <v>1</v>
      </c>
    </row>
    <row r="21" spans="1:33" s="334" customFormat="1" ht="16.149999999999999" customHeight="1" x14ac:dyDescent="0.3">
      <c r="A21" s="326">
        <v>6</v>
      </c>
      <c r="B21" s="498" t="str">
        <f>'ORÇ - COMPLETO LOTE 01'!A141</f>
        <v>6 - WC FEMININO</v>
      </c>
      <c r="C21" s="498"/>
      <c r="D21" s="498"/>
      <c r="E21" s="498"/>
      <c r="F21" s="498"/>
      <c r="G21" s="333">
        <f>'ORÇ - COMPLETO LOTE 01'!K141</f>
        <v>12200.006543740001</v>
      </c>
      <c r="H21" s="328">
        <f t="shared" si="1"/>
        <v>1.4585380422009365E-2</v>
      </c>
      <c r="I21" s="329">
        <f t="shared" si="2"/>
        <v>0</v>
      </c>
      <c r="J21" s="330"/>
      <c r="K21" s="329">
        <f t="shared" si="3"/>
        <v>0</v>
      </c>
      <c r="L21" s="330"/>
      <c r="M21" s="329">
        <f t="shared" si="4"/>
        <v>0</v>
      </c>
      <c r="N21" s="330"/>
      <c r="O21" s="329">
        <f t="shared" si="5"/>
        <v>3050.0016359350002</v>
      </c>
      <c r="P21" s="330">
        <v>0.25</v>
      </c>
      <c r="Q21" s="329">
        <f t="shared" si="6"/>
        <v>3050.0016359350002</v>
      </c>
      <c r="R21" s="330">
        <v>0.25</v>
      </c>
      <c r="S21" s="329">
        <f t="shared" si="7"/>
        <v>1830.0009815610001</v>
      </c>
      <c r="T21" s="330">
        <v>0.15</v>
      </c>
      <c r="U21" s="329">
        <f t="shared" si="8"/>
        <v>1830.0009815610001</v>
      </c>
      <c r="V21" s="330">
        <v>0.15</v>
      </c>
      <c r="W21" s="329">
        <f t="shared" si="9"/>
        <v>1220.0006543740001</v>
      </c>
      <c r="X21" s="330">
        <v>0.1</v>
      </c>
      <c r="Y21" s="329">
        <f t="shared" si="10"/>
        <v>0</v>
      </c>
      <c r="Z21" s="330"/>
      <c r="AA21" s="329">
        <f t="shared" si="11"/>
        <v>0</v>
      </c>
      <c r="AB21" s="330"/>
      <c r="AC21" s="329">
        <f t="shared" si="12"/>
        <v>0</v>
      </c>
      <c r="AD21" s="330"/>
      <c r="AE21" s="329">
        <f t="shared" si="13"/>
        <v>1220.0006543740001</v>
      </c>
      <c r="AF21" s="330">
        <v>0.1</v>
      </c>
      <c r="AG21" s="325">
        <f t="shared" si="0"/>
        <v>1</v>
      </c>
    </row>
    <row r="22" spans="1:33" s="332" customFormat="1" ht="16.149999999999999" customHeight="1" x14ac:dyDescent="0.3">
      <c r="A22" s="320">
        <v>7</v>
      </c>
      <c r="B22" s="497" t="str">
        <f>'ORÇ - COMPLETO LOTE 01'!A167</f>
        <v>7 - CHURRASQUEIRA, APOIO E DEPÓSITO</v>
      </c>
      <c r="C22" s="497"/>
      <c r="D22" s="497"/>
      <c r="E22" s="497"/>
      <c r="F22" s="497"/>
      <c r="G22" s="331">
        <f>'ORÇ - COMPLETO LOTE 01'!K167</f>
        <v>27352.432692000002</v>
      </c>
      <c r="H22" s="322">
        <f t="shared" si="1"/>
        <v>3.2700444450575357E-2</v>
      </c>
      <c r="I22" s="323">
        <f t="shared" si="2"/>
        <v>0</v>
      </c>
      <c r="J22" s="324"/>
      <c r="K22" s="323">
        <f t="shared" si="3"/>
        <v>0</v>
      </c>
      <c r="L22" s="324"/>
      <c r="M22" s="323">
        <f t="shared" si="4"/>
        <v>0</v>
      </c>
      <c r="N22" s="324"/>
      <c r="O22" s="323">
        <f t="shared" si="5"/>
        <v>6838.1081730000005</v>
      </c>
      <c r="P22" s="324">
        <v>0.25</v>
      </c>
      <c r="Q22" s="323">
        <f t="shared" si="6"/>
        <v>6838.1081730000005</v>
      </c>
      <c r="R22" s="324">
        <v>0.25</v>
      </c>
      <c r="S22" s="323">
        <f t="shared" si="7"/>
        <v>4102.8649038000003</v>
      </c>
      <c r="T22" s="324">
        <v>0.15</v>
      </c>
      <c r="U22" s="323">
        <f t="shared" si="8"/>
        <v>4102.8649038000003</v>
      </c>
      <c r="V22" s="324">
        <v>0.15</v>
      </c>
      <c r="W22" s="323">
        <f t="shared" si="9"/>
        <v>2735.2432692000002</v>
      </c>
      <c r="X22" s="324">
        <v>0.1</v>
      </c>
      <c r="Y22" s="323">
        <f t="shared" si="10"/>
        <v>0</v>
      </c>
      <c r="Z22" s="324"/>
      <c r="AA22" s="323">
        <f t="shared" si="11"/>
        <v>0</v>
      </c>
      <c r="AB22" s="324"/>
      <c r="AC22" s="323">
        <f t="shared" si="12"/>
        <v>0</v>
      </c>
      <c r="AD22" s="324"/>
      <c r="AE22" s="323">
        <f t="shared" si="13"/>
        <v>2735.2432692000002</v>
      </c>
      <c r="AF22" s="324">
        <v>0.1</v>
      </c>
      <c r="AG22" s="325">
        <f t="shared" si="0"/>
        <v>1</v>
      </c>
    </row>
    <row r="23" spans="1:33" s="334" customFormat="1" ht="16.149999999999999" customHeight="1" x14ac:dyDescent="0.3">
      <c r="A23" s="326">
        <v>8</v>
      </c>
      <c r="B23" s="498" t="str">
        <f>'ORÇ - COMPLETO LOTE 01'!A198</f>
        <v>8 - COZINHA</v>
      </c>
      <c r="C23" s="498"/>
      <c r="D23" s="498"/>
      <c r="E23" s="498"/>
      <c r="F23" s="498"/>
      <c r="G23" s="333">
        <f>'ORÇ - COMPLETO LOTE 01'!K198</f>
        <v>22921.45708611</v>
      </c>
      <c r="H23" s="328">
        <f t="shared" si="1"/>
        <v>2.7403114107280548E-2</v>
      </c>
      <c r="I23" s="329">
        <f t="shared" si="2"/>
        <v>0</v>
      </c>
      <c r="J23" s="330"/>
      <c r="K23" s="329">
        <f t="shared" si="3"/>
        <v>0</v>
      </c>
      <c r="L23" s="330"/>
      <c r="M23" s="329">
        <f t="shared" si="4"/>
        <v>0</v>
      </c>
      <c r="N23" s="330"/>
      <c r="O23" s="329">
        <f t="shared" si="5"/>
        <v>2292.1457086109999</v>
      </c>
      <c r="P23" s="330">
        <v>0.1</v>
      </c>
      <c r="Q23" s="329">
        <f t="shared" si="6"/>
        <v>5730.3642715275</v>
      </c>
      <c r="R23" s="330">
        <v>0.25</v>
      </c>
      <c r="S23" s="329">
        <f t="shared" si="7"/>
        <v>5730.3642715275</v>
      </c>
      <c r="T23" s="330">
        <v>0.25</v>
      </c>
      <c r="U23" s="329">
        <f t="shared" si="8"/>
        <v>2292.1457086109999</v>
      </c>
      <c r="V23" s="330">
        <v>0.1</v>
      </c>
      <c r="W23" s="329">
        <f t="shared" si="9"/>
        <v>2292.1457086109999</v>
      </c>
      <c r="X23" s="330">
        <v>0.1</v>
      </c>
      <c r="Y23" s="329">
        <f t="shared" si="10"/>
        <v>2292.1457086109999</v>
      </c>
      <c r="Z23" s="330">
        <v>0.1</v>
      </c>
      <c r="AA23" s="329">
        <f t="shared" si="11"/>
        <v>0</v>
      </c>
      <c r="AB23" s="330"/>
      <c r="AC23" s="329">
        <f t="shared" si="12"/>
        <v>0</v>
      </c>
      <c r="AD23" s="330"/>
      <c r="AE23" s="329">
        <f t="shared" si="13"/>
        <v>2292.1457086109999</v>
      </c>
      <c r="AF23" s="330">
        <v>0.1</v>
      </c>
      <c r="AG23" s="325">
        <f t="shared" si="0"/>
        <v>0.99999999999999989</v>
      </c>
    </row>
    <row r="24" spans="1:33" s="332" customFormat="1" ht="16.149999999999999" customHeight="1" x14ac:dyDescent="0.3">
      <c r="A24" s="320">
        <v>9</v>
      </c>
      <c r="B24" s="497" t="str">
        <f>'ORÇ - COMPLETO LOTE 01'!A221</f>
        <v>9 - BAR</v>
      </c>
      <c r="C24" s="497"/>
      <c r="D24" s="497"/>
      <c r="E24" s="497"/>
      <c r="F24" s="497"/>
      <c r="G24" s="331">
        <f>'ORÇ - COMPLETO LOTE 01'!K221</f>
        <v>13152.632779020001</v>
      </c>
      <c r="H24" s="322">
        <f t="shared" si="1"/>
        <v>1.5724266371925092E-2</v>
      </c>
      <c r="I24" s="323">
        <f t="shared" si="2"/>
        <v>0</v>
      </c>
      <c r="J24" s="324"/>
      <c r="K24" s="323">
        <f t="shared" si="3"/>
        <v>0</v>
      </c>
      <c r="L24" s="324"/>
      <c r="M24" s="323">
        <f t="shared" si="4"/>
        <v>0</v>
      </c>
      <c r="N24" s="324"/>
      <c r="O24" s="323">
        <f t="shared" si="5"/>
        <v>0</v>
      </c>
      <c r="P24" s="324"/>
      <c r="Q24" s="323">
        <f t="shared" si="6"/>
        <v>3288.1581947550003</v>
      </c>
      <c r="R24" s="324">
        <v>0.25</v>
      </c>
      <c r="S24" s="323">
        <f t="shared" si="7"/>
        <v>3288.1581947550003</v>
      </c>
      <c r="T24" s="324">
        <v>0.25</v>
      </c>
      <c r="U24" s="323">
        <f t="shared" si="8"/>
        <v>3288.1581947550003</v>
      </c>
      <c r="V24" s="324">
        <v>0.25</v>
      </c>
      <c r="W24" s="323">
        <f t="shared" si="9"/>
        <v>1972.894916853</v>
      </c>
      <c r="X24" s="324">
        <v>0.15</v>
      </c>
      <c r="Y24" s="323">
        <f t="shared" si="10"/>
        <v>0</v>
      </c>
      <c r="Z24" s="324"/>
      <c r="AA24" s="323">
        <f t="shared" si="11"/>
        <v>0</v>
      </c>
      <c r="AB24" s="324"/>
      <c r="AC24" s="323">
        <f t="shared" si="12"/>
        <v>0</v>
      </c>
      <c r="AD24" s="324"/>
      <c r="AE24" s="323">
        <f t="shared" si="13"/>
        <v>1315.2632779020003</v>
      </c>
      <c r="AF24" s="324">
        <v>0.1</v>
      </c>
      <c r="AG24" s="325">
        <f t="shared" si="0"/>
        <v>1</v>
      </c>
    </row>
    <row r="25" spans="1:33" s="334" customFormat="1" ht="16.149999999999999" customHeight="1" x14ac:dyDescent="0.3">
      <c r="A25" s="326">
        <v>10</v>
      </c>
      <c r="B25" s="498" t="str">
        <f>'ORÇ - COMPLETO LOTE 01'!A236</f>
        <v>10 - SALA DE JOGOS E CIRCULAÇÕES INTERNAS</v>
      </c>
      <c r="C25" s="498"/>
      <c r="D25" s="498"/>
      <c r="E25" s="498"/>
      <c r="F25" s="498"/>
      <c r="G25" s="333">
        <f>'ORÇ - COMPLETO LOTE 01'!K236</f>
        <v>41831.373156500013</v>
      </c>
      <c r="H25" s="328">
        <f t="shared" si="1"/>
        <v>5.0010341295730537E-2</v>
      </c>
      <c r="I25" s="329">
        <f t="shared" si="2"/>
        <v>0</v>
      </c>
      <c r="J25" s="330"/>
      <c r="K25" s="329">
        <f t="shared" si="3"/>
        <v>0</v>
      </c>
      <c r="L25" s="330"/>
      <c r="M25" s="329">
        <f t="shared" si="4"/>
        <v>0</v>
      </c>
      <c r="N25" s="330"/>
      <c r="O25" s="329">
        <f t="shared" si="5"/>
        <v>0</v>
      </c>
      <c r="P25" s="330"/>
      <c r="Q25" s="329">
        <f t="shared" si="6"/>
        <v>10457.843289125003</v>
      </c>
      <c r="R25" s="330">
        <v>0.25</v>
      </c>
      <c r="S25" s="329">
        <f t="shared" si="7"/>
        <v>10457.843289125003</v>
      </c>
      <c r="T25" s="330">
        <v>0.25</v>
      </c>
      <c r="U25" s="329">
        <f t="shared" si="8"/>
        <v>10457.843289125003</v>
      </c>
      <c r="V25" s="330">
        <v>0.25</v>
      </c>
      <c r="W25" s="329">
        <f t="shared" si="9"/>
        <v>6274.7059734750019</v>
      </c>
      <c r="X25" s="330">
        <v>0.15</v>
      </c>
      <c r="Y25" s="329">
        <f t="shared" si="10"/>
        <v>0</v>
      </c>
      <c r="Z25" s="330"/>
      <c r="AA25" s="329">
        <f t="shared" si="11"/>
        <v>0</v>
      </c>
      <c r="AB25" s="330"/>
      <c r="AC25" s="329">
        <f t="shared" si="12"/>
        <v>0</v>
      </c>
      <c r="AD25" s="330"/>
      <c r="AE25" s="329">
        <f t="shared" si="13"/>
        <v>4183.1373156500013</v>
      </c>
      <c r="AF25" s="330">
        <v>0.1</v>
      </c>
      <c r="AG25" s="325">
        <f t="shared" si="0"/>
        <v>1</v>
      </c>
    </row>
    <row r="26" spans="1:33" s="332" customFormat="1" ht="16.149999999999999" customHeight="1" x14ac:dyDescent="0.3">
      <c r="A26" s="320">
        <v>11</v>
      </c>
      <c r="B26" s="497" t="str">
        <f>'ORÇ - COMPLETO LOTE 01'!A265</f>
        <v>11 - CANCHA DE BOCHA</v>
      </c>
      <c r="C26" s="497"/>
      <c r="D26" s="497"/>
      <c r="E26" s="497"/>
      <c r="F26" s="497"/>
      <c r="G26" s="331">
        <f>'ORÇ - COMPLETO LOTE 01'!K265</f>
        <v>189226.13310681499</v>
      </c>
      <c r="H26" s="322">
        <f t="shared" si="1"/>
        <v>0.22622407022927704</v>
      </c>
      <c r="I26" s="323">
        <f t="shared" si="2"/>
        <v>0</v>
      </c>
      <c r="J26" s="324"/>
      <c r="K26" s="323">
        <f t="shared" si="3"/>
        <v>0</v>
      </c>
      <c r="L26" s="324"/>
      <c r="M26" s="323">
        <f t="shared" si="4"/>
        <v>0</v>
      </c>
      <c r="N26" s="324"/>
      <c r="O26" s="323">
        <f t="shared" si="5"/>
        <v>0</v>
      </c>
      <c r="P26" s="324"/>
      <c r="Q26" s="323">
        <f t="shared" si="6"/>
        <v>9461.3066553407498</v>
      </c>
      <c r="R26" s="324">
        <v>0.05</v>
      </c>
      <c r="S26" s="323">
        <f t="shared" si="7"/>
        <v>18922.6133106815</v>
      </c>
      <c r="T26" s="324">
        <v>0.1</v>
      </c>
      <c r="U26" s="323">
        <f t="shared" si="8"/>
        <v>18922.6133106815</v>
      </c>
      <c r="V26" s="324">
        <v>0.1</v>
      </c>
      <c r="W26" s="323">
        <f t="shared" si="9"/>
        <v>18922.6133106815</v>
      </c>
      <c r="X26" s="324">
        <v>0.1</v>
      </c>
      <c r="Y26" s="323">
        <f t="shared" si="10"/>
        <v>18922.6133106815</v>
      </c>
      <c r="Z26" s="324">
        <v>0.1</v>
      </c>
      <c r="AA26" s="323">
        <f t="shared" si="11"/>
        <v>18922.6133106815</v>
      </c>
      <c r="AB26" s="324">
        <v>0.1</v>
      </c>
      <c r="AC26" s="323">
        <f t="shared" si="12"/>
        <v>75690.453242725998</v>
      </c>
      <c r="AD26" s="324">
        <v>0.4</v>
      </c>
      <c r="AE26" s="323">
        <f t="shared" si="13"/>
        <v>9461.3066553407498</v>
      </c>
      <c r="AF26" s="324">
        <v>0.05</v>
      </c>
      <c r="AG26" s="325">
        <f t="shared" si="0"/>
        <v>1</v>
      </c>
    </row>
    <row r="27" spans="1:33" s="334" customFormat="1" ht="16.149999999999999" customHeight="1" x14ac:dyDescent="0.3">
      <c r="A27" s="326">
        <v>12</v>
      </c>
      <c r="B27" s="498" t="str">
        <f>'ORÇ - COMPLETO LOTE 01'!A299</f>
        <v>12 - BOLÃO</v>
      </c>
      <c r="C27" s="498"/>
      <c r="D27" s="498"/>
      <c r="E27" s="498"/>
      <c r="F27" s="498"/>
      <c r="G27" s="333">
        <f>'ORÇ - COMPLETO LOTE 01'!K299</f>
        <v>25516.655976804999</v>
      </c>
      <c r="H27" s="328">
        <f t="shared" si="1"/>
        <v>3.0505732368660551E-2</v>
      </c>
      <c r="I27" s="329">
        <f t="shared" si="2"/>
        <v>0</v>
      </c>
      <c r="J27" s="330"/>
      <c r="K27" s="329">
        <f t="shared" si="3"/>
        <v>0</v>
      </c>
      <c r="L27" s="330"/>
      <c r="M27" s="329">
        <f t="shared" si="4"/>
        <v>0</v>
      </c>
      <c r="N27" s="330"/>
      <c r="O27" s="329">
        <f t="shared" si="5"/>
        <v>0</v>
      </c>
      <c r="P27" s="330"/>
      <c r="Q27" s="329">
        <f t="shared" si="6"/>
        <v>3827.4983965207498</v>
      </c>
      <c r="R27" s="330">
        <v>0.15</v>
      </c>
      <c r="S27" s="329">
        <f t="shared" si="7"/>
        <v>6379.1639942012498</v>
      </c>
      <c r="T27" s="330">
        <v>0.25</v>
      </c>
      <c r="U27" s="329">
        <f t="shared" si="8"/>
        <v>6379.1639942012498</v>
      </c>
      <c r="V27" s="330">
        <v>0.25</v>
      </c>
      <c r="W27" s="329">
        <f t="shared" si="9"/>
        <v>6379.1639942012498</v>
      </c>
      <c r="X27" s="330">
        <v>0.25</v>
      </c>
      <c r="Y27" s="329">
        <f t="shared" si="10"/>
        <v>0</v>
      </c>
      <c r="Z27" s="330"/>
      <c r="AA27" s="329">
        <f t="shared" si="11"/>
        <v>0</v>
      </c>
      <c r="AB27" s="330"/>
      <c r="AC27" s="329">
        <f t="shared" si="12"/>
        <v>0</v>
      </c>
      <c r="AD27" s="330"/>
      <c r="AE27" s="329">
        <f t="shared" si="13"/>
        <v>2551.6655976805</v>
      </c>
      <c r="AF27" s="330">
        <v>0.1</v>
      </c>
      <c r="AG27" s="325">
        <f t="shared" si="0"/>
        <v>1</v>
      </c>
    </row>
    <row r="28" spans="1:33" s="332" customFormat="1" ht="16.149999999999999" customHeight="1" x14ac:dyDescent="0.3">
      <c r="A28" s="320">
        <v>13</v>
      </c>
      <c r="B28" s="497" t="str">
        <f>'ORÇ - COMPLETO LOTE 01'!A313</f>
        <v>13 - EDIFICAÇÃO - EXTERNO</v>
      </c>
      <c r="C28" s="497"/>
      <c r="D28" s="497"/>
      <c r="E28" s="497"/>
      <c r="F28" s="497"/>
      <c r="G28" s="331">
        <f>'ORÇ - COMPLETO LOTE 01'!K313</f>
        <v>210644.98521598126</v>
      </c>
      <c r="H28" s="322">
        <f t="shared" si="1"/>
        <v>0.25183078651216673</v>
      </c>
      <c r="I28" s="323">
        <f t="shared" si="2"/>
        <v>0</v>
      </c>
      <c r="J28" s="324"/>
      <c r="K28" s="323">
        <f t="shared" si="3"/>
        <v>21064.498521598129</v>
      </c>
      <c r="L28" s="324">
        <v>0.1</v>
      </c>
      <c r="M28" s="323">
        <f t="shared" si="4"/>
        <v>21064.498521598129</v>
      </c>
      <c r="N28" s="324">
        <v>0.1</v>
      </c>
      <c r="O28" s="323">
        <f t="shared" si="5"/>
        <v>21064.498521598129</v>
      </c>
      <c r="P28" s="324">
        <v>0.1</v>
      </c>
      <c r="Q28" s="323">
        <f t="shared" si="6"/>
        <v>10532.249260799064</v>
      </c>
      <c r="R28" s="324">
        <v>0.05</v>
      </c>
      <c r="S28" s="323">
        <f t="shared" si="7"/>
        <v>10532.249260799064</v>
      </c>
      <c r="T28" s="324">
        <v>0.05</v>
      </c>
      <c r="U28" s="323">
        <f t="shared" si="8"/>
        <v>21064.498521598129</v>
      </c>
      <c r="V28" s="324">
        <v>0.1</v>
      </c>
      <c r="W28" s="323">
        <f t="shared" si="9"/>
        <v>21064.498521598129</v>
      </c>
      <c r="X28" s="324">
        <v>0.1</v>
      </c>
      <c r="Y28" s="323">
        <f t="shared" si="10"/>
        <v>42128.997043196257</v>
      </c>
      <c r="Z28" s="324">
        <v>0.2</v>
      </c>
      <c r="AA28" s="323">
        <f t="shared" si="11"/>
        <v>31596.747782397186</v>
      </c>
      <c r="AB28" s="324">
        <v>0.15</v>
      </c>
      <c r="AC28" s="323">
        <f t="shared" si="12"/>
        <v>0</v>
      </c>
      <c r="AD28" s="324"/>
      <c r="AE28" s="323">
        <f t="shared" si="13"/>
        <v>10532.249260799064</v>
      </c>
      <c r="AF28" s="324">
        <v>0.05</v>
      </c>
      <c r="AG28" s="325">
        <f t="shared" si="0"/>
        <v>1</v>
      </c>
    </row>
    <row r="29" spans="1:33" s="334" customFormat="1" ht="16.149999999999999" customHeight="1" x14ac:dyDescent="0.3">
      <c r="A29" s="326">
        <v>14</v>
      </c>
      <c r="B29" s="498" t="str">
        <f>'ORÇ - COMPLETO LOTE 01'!A348</f>
        <v>14 - EDIFICAÇÃO - INTERNO</v>
      </c>
      <c r="C29" s="498"/>
      <c r="D29" s="498"/>
      <c r="E29" s="498"/>
      <c r="F29" s="498"/>
      <c r="G29" s="333">
        <f>'ORÇ - COMPLETO LOTE 01'!K348</f>
        <v>19196.761323600003</v>
      </c>
      <c r="H29" s="328">
        <f t="shared" si="1"/>
        <v>2.2950157097980414E-2</v>
      </c>
      <c r="I29" s="329">
        <f t="shared" si="2"/>
        <v>0</v>
      </c>
      <c r="J29" s="330"/>
      <c r="K29" s="329">
        <f t="shared" si="3"/>
        <v>0</v>
      </c>
      <c r="L29" s="330"/>
      <c r="M29" s="329">
        <f t="shared" si="4"/>
        <v>0</v>
      </c>
      <c r="N29" s="330"/>
      <c r="O29" s="329">
        <f t="shared" si="5"/>
        <v>0</v>
      </c>
      <c r="P29" s="330"/>
      <c r="Q29" s="329">
        <f t="shared" si="6"/>
        <v>959.83806618000017</v>
      </c>
      <c r="R29" s="330">
        <v>0.05</v>
      </c>
      <c r="S29" s="329">
        <f t="shared" si="7"/>
        <v>959.83806618000017</v>
      </c>
      <c r="T29" s="330">
        <v>0.05</v>
      </c>
      <c r="U29" s="329">
        <f t="shared" si="8"/>
        <v>1919.6761323600003</v>
      </c>
      <c r="V29" s="330">
        <v>0.1</v>
      </c>
      <c r="W29" s="329">
        <f t="shared" si="9"/>
        <v>4799.1903309000008</v>
      </c>
      <c r="X29" s="330">
        <v>0.25</v>
      </c>
      <c r="Y29" s="329">
        <f t="shared" si="10"/>
        <v>2879.5141985400005</v>
      </c>
      <c r="Z29" s="330">
        <v>0.15</v>
      </c>
      <c r="AA29" s="329">
        <f t="shared" si="11"/>
        <v>5759.028397080001</v>
      </c>
      <c r="AB29" s="330">
        <v>0.3</v>
      </c>
      <c r="AC29" s="329">
        <f t="shared" si="12"/>
        <v>0</v>
      </c>
      <c r="AD29" s="330"/>
      <c r="AE29" s="329">
        <f t="shared" si="13"/>
        <v>1919.6761323600003</v>
      </c>
      <c r="AF29" s="330">
        <v>0.1</v>
      </c>
      <c r="AG29" s="325">
        <f t="shared" si="0"/>
        <v>0.99999999999999989</v>
      </c>
    </row>
    <row r="30" spans="1:33" s="332" customFormat="1" ht="16.149999999999999" customHeight="1" x14ac:dyDescent="0.3">
      <c r="A30" s="320">
        <v>15</v>
      </c>
      <c r="B30" s="497" t="str">
        <f>'ORÇ - COMPLETO LOTE 01'!A354</f>
        <v>15 - SERVIÇOS COMPLEMENTARES</v>
      </c>
      <c r="C30" s="497"/>
      <c r="D30" s="497"/>
      <c r="E30" s="497"/>
      <c r="F30" s="497"/>
      <c r="G30" s="331">
        <f>'ORÇ - COMPLETO LOTE 01'!K354</f>
        <v>34324.032616000004</v>
      </c>
      <c r="H30" s="322">
        <f t="shared" si="1"/>
        <v>4.1035147934301505E-2</v>
      </c>
      <c r="I30" s="323">
        <f t="shared" si="2"/>
        <v>1716.2016308000002</v>
      </c>
      <c r="J30" s="324">
        <v>0.05</v>
      </c>
      <c r="K30" s="323">
        <f t="shared" si="3"/>
        <v>3432.4032616000004</v>
      </c>
      <c r="L30" s="324">
        <v>0.1</v>
      </c>
      <c r="M30" s="323">
        <f t="shared" si="4"/>
        <v>3432.4032616000004</v>
      </c>
      <c r="N30" s="324">
        <v>0.1</v>
      </c>
      <c r="O30" s="323">
        <f t="shared" si="5"/>
        <v>3432.4032616000004</v>
      </c>
      <c r="P30" s="324">
        <v>0.1</v>
      </c>
      <c r="Q30" s="323">
        <f t="shared" si="6"/>
        <v>3432.4032616000004</v>
      </c>
      <c r="R30" s="324">
        <v>0.1</v>
      </c>
      <c r="S30" s="323">
        <f t="shared" si="7"/>
        <v>3432.4032616000004</v>
      </c>
      <c r="T30" s="324">
        <v>0.1</v>
      </c>
      <c r="U30" s="323">
        <f t="shared" si="8"/>
        <v>3432.4032616000004</v>
      </c>
      <c r="V30" s="324">
        <v>0.1</v>
      </c>
      <c r="W30" s="323">
        <f t="shared" si="9"/>
        <v>3432.4032616000004</v>
      </c>
      <c r="X30" s="324">
        <v>0.1</v>
      </c>
      <c r="Y30" s="323">
        <f t="shared" si="10"/>
        <v>3432.4032616000004</v>
      </c>
      <c r="Z30" s="324">
        <v>0.1</v>
      </c>
      <c r="AA30" s="323">
        <f t="shared" si="11"/>
        <v>1716.2016308000002</v>
      </c>
      <c r="AB30" s="324">
        <v>0.05</v>
      </c>
      <c r="AC30" s="323">
        <f t="shared" si="12"/>
        <v>1716.2016308000002</v>
      </c>
      <c r="AD30" s="324">
        <v>0.05</v>
      </c>
      <c r="AE30" s="323">
        <f t="shared" si="13"/>
        <v>1716.2016308000002</v>
      </c>
      <c r="AF30" s="324">
        <v>0.05</v>
      </c>
      <c r="AG30" s="325">
        <f t="shared" si="0"/>
        <v>1</v>
      </c>
    </row>
    <row r="31" spans="1:33" s="334" customFormat="1" ht="16.149999999999999" customHeight="1" x14ac:dyDescent="0.3">
      <c r="A31" s="326">
        <v>16</v>
      </c>
      <c r="B31" s="498" t="str">
        <f>'ORÇ - COMPLETO LOTE 01'!A357</f>
        <v>16 - INSTALAÇÕES ELÉTRICAS</v>
      </c>
      <c r="C31" s="498"/>
      <c r="D31" s="498"/>
      <c r="E31" s="498"/>
      <c r="F31" s="498"/>
      <c r="G31" s="333">
        <f>'ORÇ - COMPLETO LOTE 01'!K357</f>
        <v>52401.307788200007</v>
      </c>
      <c r="H31" s="328">
        <f t="shared" si="1"/>
        <v>6.2646934324299117E-2</v>
      </c>
      <c r="I31" s="329">
        <f t="shared" si="2"/>
        <v>0</v>
      </c>
      <c r="J31" s="330"/>
      <c r="K31" s="329">
        <f t="shared" si="3"/>
        <v>0</v>
      </c>
      <c r="L31" s="330"/>
      <c r="M31" s="329">
        <f t="shared" si="4"/>
        <v>0</v>
      </c>
      <c r="N31" s="330"/>
      <c r="O31" s="329">
        <f t="shared" si="5"/>
        <v>5240.1307788200011</v>
      </c>
      <c r="P31" s="330">
        <v>0.1</v>
      </c>
      <c r="Q31" s="329">
        <f t="shared" si="6"/>
        <v>5240.1307788200011</v>
      </c>
      <c r="R31" s="330">
        <v>0.1</v>
      </c>
      <c r="S31" s="329">
        <f t="shared" si="7"/>
        <v>5240.1307788200011</v>
      </c>
      <c r="T31" s="330">
        <v>0.1</v>
      </c>
      <c r="U31" s="329">
        <f t="shared" si="8"/>
        <v>5240.1307788200011</v>
      </c>
      <c r="V31" s="330">
        <v>0.1</v>
      </c>
      <c r="W31" s="329">
        <f t="shared" si="9"/>
        <v>5240.1307788200011</v>
      </c>
      <c r="X31" s="330">
        <v>0.1</v>
      </c>
      <c r="Y31" s="329">
        <f t="shared" si="10"/>
        <v>13100.326947050002</v>
      </c>
      <c r="Z31" s="330">
        <v>0.25</v>
      </c>
      <c r="AA31" s="329">
        <f t="shared" si="11"/>
        <v>10480.261557640002</v>
      </c>
      <c r="AB31" s="330">
        <v>0.2</v>
      </c>
      <c r="AC31" s="329">
        <f t="shared" si="12"/>
        <v>0</v>
      </c>
      <c r="AD31" s="330"/>
      <c r="AE31" s="329">
        <f t="shared" si="13"/>
        <v>2620.0653894100005</v>
      </c>
      <c r="AF31" s="330">
        <v>0.05</v>
      </c>
      <c r="AG31" s="325">
        <f t="shared" si="0"/>
        <v>1</v>
      </c>
    </row>
    <row r="32" spans="1:33" s="332" customFormat="1" ht="16.149999999999999" customHeight="1" x14ac:dyDescent="0.3">
      <c r="A32" s="320">
        <v>17</v>
      </c>
      <c r="B32" s="497" t="str">
        <f>'ORÇ - COMPLETO LOTE 01'!A401</f>
        <v>17 - PREVENTIVO DE INCENDIO E INSTALAÇÕES DE GÁS</v>
      </c>
      <c r="C32" s="497"/>
      <c r="D32" s="497"/>
      <c r="E32" s="497"/>
      <c r="F32" s="497"/>
      <c r="G32" s="331">
        <f>'ORÇ - COMPLETO LOTE 01'!K401</f>
        <v>9403.1197274799979</v>
      </c>
      <c r="H32" s="322">
        <f t="shared" si="1"/>
        <v>1.1241639739067964E-2</v>
      </c>
      <c r="I32" s="323">
        <f t="shared" si="2"/>
        <v>0</v>
      </c>
      <c r="J32" s="324"/>
      <c r="K32" s="323">
        <f t="shared" si="3"/>
        <v>0</v>
      </c>
      <c r="L32" s="324"/>
      <c r="M32" s="323">
        <f t="shared" si="4"/>
        <v>0</v>
      </c>
      <c r="N32" s="324"/>
      <c r="O32" s="323">
        <f t="shared" si="5"/>
        <v>0</v>
      </c>
      <c r="P32" s="324"/>
      <c r="Q32" s="323">
        <f t="shared" si="6"/>
        <v>0</v>
      </c>
      <c r="R32" s="324"/>
      <c r="S32" s="323">
        <f t="shared" si="7"/>
        <v>0</v>
      </c>
      <c r="T32" s="324"/>
      <c r="U32" s="323">
        <f t="shared" si="8"/>
        <v>0</v>
      </c>
      <c r="V32" s="324"/>
      <c r="W32" s="323">
        <f t="shared" si="9"/>
        <v>0</v>
      </c>
      <c r="X32" s="324"/>
      <c r="Y32" s="323">
        <f t="shared" si="10"/>
        <v>0</v>
      </c>
      <c r="Z32" s="324"/>
      <c r="AA32" s="323">
        <f t="shared" si="11"/>
        <v>7052.339795609998</v>
      </c>
      <c r="AB32" s="324">
        <v>0.75</v>
      </c>
      <c r="AC32" s="323">
        <f t="shared" si="12"/>
        <v>0</v>
      </c>
      <c r="AD32" s="324"/>
      <c r="AE32" s="323">
        <f t="shared" si="13"/>
        <v>2350.7799318699995</v>
      </c>
      <c r="AF32" s="324">
        <v>0.25</v>
      </c>
      <c r="AG32" s="325">
        <f t="shared" si="0"/>
        <v>1</v>
      </c>
    </row>
    <row r="33" spans="1:33" ht="18" customHeight="1" x14ac:dyDescent="0.3">
      <c r="A33" s="510" t="s">
        <v>1057</v>
      </c>
      <c r="B33" s="511"/>
      <c r="C33" s="511"/>
      <c r="D33" s="511"/>
      <c r="E33" s="511"/>
      <c r="F33" s="512"/>
      <c r="G33" s="335">
        <f>SUM(G16:G32)</f>
        <v>836454.4626707281</v>
      </c>
      <c r="H33" s="336">
        <f>SUM(H16:H32)</f>
        <v>1</v>
      </c>
      <c r="I33" s="337">
        <f>SUM(I16:I32)</f>
        <v>43715.298527521707</v>
      </c>
      <c r="J33" s="336">
        <f>$I$33/$G$33</f>
        <v>5.22626161715277E-2</v>
      </c>
      <c r="K33" s="337">
        <f>SUM(K16:K32)</f>
        <v>60739.265666339328</v>
      </c>
      <c r="L33" s="336">
        <f>K33/$G$33</f>
        <v>7.2615149272327401E-2</v>
      </c>
      <c r="M33" s="337">
        <f>SUM(M16:M32)</f>
        <v>60739.265666339328</v>
      </c>
      <c r="N33" s="336">
        <f>M33/$G$33</f>
        <v>7.2615149272327401E-2</v>
      </c>
      <c r="O33" s="337">
        <f>SUM(O16:O32)</f>
        <v>70961.50413719166</v>
      </c>
      <c r="P33" s="336">
        <f>O33/$G$33</f>
        <v>8.483606377162195E-2</v>
      </c>
      <c r="Q33" s="337">
        <f>SUM(Q16:Q32)</f>
        <v>70747.502221005576</v>
      </c>
      <c r="R33" s="336">
        <f>Q33/$G$33</f>
        <v>8.4580219699127199E-2</v>
      </c>
      <c r="S33" s="337">
        <f>SUM(S16:S32)</f>
        <v>74727.079395409834</v>
      </c>
      <c r="T33" s="336">
        <f>S33/$G$33</f>
        <v>8.9337893131459442E-2</v>
      </c>
      <c r="U33" s="337">
        <f>SUM(U16:U32)</f>
        <v>82780.948159472391</v>
      </c>
      <c r="V33" s="336">
        <f>U33/$G$33</f>
        <v>9.8966473195874705E-2</v>
      </c>
      <c r="W33" s="337">
        <f>SUM(W16:W32)</f>
        <v>76900.623441886884</v>
      </c>
      <c r="X33" s="336">
        <f>W33/$G$33</f>
        <v>9.1936413605051157E-2</v>
      </c>
      <c r="Y33" s="337">
        <f>SUM(Y16:Y32)</f>
        <v>82756.000469678751</v>
      </c>
      <c r="Z33" s="336">
        <f>Y33/$G$33</f>
        <v>9.8936647675291089E-2</v>
      </c>
      <c r="AA33" s="337">
        <f>SUM(AA16:AA32)</f>
        <v>75527.192474208685</v>
      </c>
      <c r="AB33" s="336">
        <f>AA33/$G$33</f>
        <v>9.0294446195022707E-2</v>
      </c>
      <c r="AC33" s="337">
        <f>SUM(AC16:AC32)</f>
        <v>77406.654873526</v>
      </c>
      <c r="AD33" s="336">
        <f>AC33/$G$33</f>
        <v>9.2541385488425901E-2</v>
      </c>
      <c r="AE33" s="337">
        <f>SUM(AE16:AE32)</f>
        <v>59453.127638147998</v>
      </c>
      <c r="AF33" s="336">
        <f>AE33/$G$33</f>
        <v>7.1077542521943399E-2</v>
      </c>
      <c r="AG33" s="325">
        <f t="shared" si="0"/>
        <v>1</v>
      </c>
    </row>
    <row r="34" spans="1:33" ht="18" customHeight="1" x14ac:dyDescent="0.3">
      <c r="A34" s="499" t="s">
        <v>1058</v>
      </c>
      <c r="B34" s="500"/>
      <c r="C34" s="500"/>
      <c r="D34" s="500"/>
      <c r="E34" s="500"/>
      <c r="F34" s="501"/>
      <c r="G34" s="338">
        <f>G33</f>
        <v>836454.4626707281</v>
      </c>
      <c r="H34" s="339">
        <f>H33</f>
        <v>1</v>
      </c>
      <c r="I34" s="340">
        <f>I33</f>
        <v>43715.298527521707</v>
      </c>
      <c r="J34" s="339">
        <f>J33</f>
        <v>5.22626161715277E-2</v>
      </c>
      <c r="K34" s="340">
        <f>I34+K33</f>
        <v>104454.56419386104</v>
      </c>
      <c r="L34" s="339">
        <f>L33+J34</f>
        <v>0.12487776544385509</v>
      </c>
      <c r="M34" s="340">
        <f>K34+M33</f>
        <v>165193.82986020035</v>
      </c>
      <c r="N34" s="339">
        <f>N33+L34</f>
        <v>0.19749291471618249</v>
      </c>
      <c r="O34" s="340">
        <f>M34+O33</f>
        <v>236155.33399739201</v>
      </c>
      <c r="P34" s="339">
        <f>P33+N34</f>
        <v>0.28232897848780447</v>
      </c>
      <c r="Q34" s="340">
        <f>O34+Q33</f>
        <v>306902.8362183976</v>
      </c>
      <c r="R34" s="339">
        <f>R33+P34</f>
        <v>0.36690919818693168</v>
      </c>
      <c r="S34" s="340">
        <f>Q34+S33</f>
        <v>381629.91561380745</v>
      </c>
      <c r="T34" s="339">
        <f>T33+R34</f>
        <v>0.45624709131839114</v>
      </c>
      <c r="U34" s="340">
        <f>S34+U33</f>
        <v>464410.86377327982</v>
      </c>
      <c r="V34" s="339">
        <f>V33+T34</f>
        <v>0.55521356451426584</v>
      </c>
      <c r="W34" s="340">
        <f>U34+W33</f>
        <v>541311.48721516668</v>
      </c>
      <c r="X34" s="339">
        <f>X33+V34</f>
        <v>0.64714997811931696</v>
      </c>
      <c r="Y34" s="340">
        <f>W34+Y33</f>
        <v>624067.48768484546</v>
      </c>
      <c r="Z34" s="339">
        <f>Z33+X34</f>
        <v>0.74608662579460805</v>
      </c>
      <c r="AA34" s="340">
        <f>Y34+AA33</f>
        <v>699594.68015905411</v>
      </c>
      <c r="AB34" s="339">
        <f>AB33+Z34</f>
        <v>0.83638107198963074</v>
      </c>
      <c r="AC34" s="340">
        <f>AA34+AC33</f>
        <v>777001.33503258007</v>
      </c>
      <c r="AD34" s="339">
        <f>AD33+AB34</f>
        <v>0.92892245747805668</v>
      </c>
      <c r="AE34" s="340">
        <f>AC34+AE33</f>
        <v>836454.4626707281</v>
      </c>
      <c r="AF34" s="339">
        <f>AF33+AD34</f>
        <v>1</v>
      </c>
    </row>
    <row r="35" spans="1:33" ht="4.9000000000000004" customHeight="1" x14ac:dyDescent="0.3"/>
    <row r="36" spans="1:33" ht="15" customHeight="1" x14ac:dyDescent="0.3">
      <c r="A36" s="341"/>
      <c r="B36" s="342"/>
      <c r="C36" s="343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502"/>
      <c r="P36" s="502"/>
      <c r="Q36" s="502"/>
      <c r="R36" s="502"/>
      <c r="S36" s="502"/>
      <c r="T36" s="502"/>
      <c r="U36" s="502"/>
      <c r="V36" s="502"/>
      <c r="W36" s="502"/>
      <c r="X36" s="502"/>
      <c r="Y36" s="502"/>
      <c r="Z36" s="502"/>
      <c r="AA36" s="502"/>
      <c r="AB36" s="502"/>
      <c r="AC36" s="502"/>
      <c r="AD36" s="502"/>
      <c r="AE36" s="502"/>
      <c r="AF36" s="503"/>
    </row>
    <row r="37" spans="1:33" ht="13.9" customHeight="1" x14ac:dyDescent="0.3">
      <c r="A37" s="318"/>
      <c r="T37" s="356"/>
      <c r="U37" s="356"/>
      <c r="X37" s="356"/>
      <c r="Y37" s="356"/>
      <c r="Z37" s="356"/>
      <c r="AA37" s="356"/>
      <c r="AD37" s="356"/>
      <c r="AE37" s="356"/>
      <c r="AF37" s="344"/>
    </row>
    <row r="38" spans="1:33" ht="13.9" customHeight="1" x14ac:dyDescent="0.3">
      <c r="A38" s="318"/>
      <c r="T38" s="356"/>
      <c r="U38" s="356"/>
      <c r="X38" s="356"/>
      <c r="Y38" s="356"/>
      <c r="Z38" s="356"/>
      <c r="AA38" s="356"/>
      <c r="AD38" s="356"/>
      <c r="AE38" s="356"/>
      <c r="AF38" s="344"/>
    </row>
    <row r="39" spans="1:33" ht="13.9" customHeight="1" x14ac:dyDescent="0.3">
      <c r="A39" s="318"/>
      <c r="T39" s="356"/>
      <c r="U39" s="356"/>
      <c r="X39" s="356"/>
      <c r="Y39" s="356"/>
      <c r="Z39" s="356"/>
      <c r="AA39" s="356"/>
      <c r="AD39" s="356"/>
      <c r="AE39" s="356"/>
      <c r="AF39" s="344"/>
    </row>
    <row r="40" spans="1:33" ht="18" x14ac:dyDescent="0.3">
      <c r="A40" s="504" t="s">
        <v>1013</v>
      </c>
      <c r="B40" s="505"/>
      <c r="C40" s="505"/>
      <c r="D40" s="505"/>
      <c r="E40" s="505"/>
      <c r="F40" s="505"/>
      <c r="G40" s="505"/>
      <c r="H40" s="505"/>
      <c r="I40" s="505"/>
      <c r="J40" s="505"/>
      <c r="K40" s="505" t="s">
        <v>1132</v>
      </c>
      <c r="L40" s="505"/>
      <c r="M40" s="505"/>
      <c r="N40" s="505"/>
      <c r="O40" s="505"/>
      <c r="P40" s="505"/>
      <c r="Q40" s="505"/>
      <c r="R40" s="505"/>
      <c r="S40" s="505"/>
      <c r="T40" s="505"/>
      <c r="U40" s="505"/>
      <c r="V40" s="505"/>
      <c r="W40" s="505"/>
      <c r="X40" s="505"/>
      <c r="Y40" s="505"/>
      <c r="Z40" s="505"/>
      <c r="AA40" s="505"/>
      <c r="AB40" s="505"/>
      <c r="AC40" s="505"/>
      <c r="AD40" s="505"/>
      <c r="AE40" s="505"/>
      <c r="AF40" s="506"/>
    </row>
    <row r="41" spans="1:33" ht="18" x14ac:dyDescent="0.3">
      <c r="A41" s="507" t="s">
        <v>1014</v>
      </c>
      <c r="B41" s="508"/>
      <c r="C41" s="508"/>
      <c r="D41" s="508"/>
      <c r="E41" s="508"/>
      <c r="F41" s="508"/>
      <c r="G41" s="508"/>
      <c r="H41" s="508"/>
      <c r="I41" s="508"/>
      <c r="J41" s="508"/>
      <c r="K41" s="508" t="s">
        <v>1133</v>
      </c>
      <c r="L41" s="508"/>
      <c r="M41" s="508"/>
      <c r="N41" s="508"/>
      <c r="O41" s="508"/>
      <c r="P41" s="508"/>
      <c r="Q41" s="508"/>
      <c r="R41" s="508"/>
      <c r="S41" s="508"/>
      <c r="T41" s="508"/>
      <c r="U41" s="508"/>
      <c r="V41" s="508"/>
      <c r="W41" s="508"/>
      <c r="X41" s="508"/>
      <c r="Y41" s="508"/>
      <c r="Z41" s="508"/>
      <c r="AA41" s="508"/>
      <c r="AB41" s="508"/>
      <c r="AC41" s="508"/>
      <c r="AD41" s="508"/>
      <c r="AE41" s="508"/>
      <c r="AF41" s="509"/>
    </row>
    <row r="42" spans="1:33" ht="18" x14ac:dyDescent="0.3">
      <c r="A42" s="494" t="s">
        <v>1015</v>
      </c>
      <c r="B42" s="495"/>
      <c r="C42" s="495"/>
      <c r="D42" s="495"/>
      <c r="E42" s="495"/>
      <c r="F42" s="495"/>
      <c r="G42" s="495"/>
      <c r="H42" s="495"/>
      <c r="I42" s="495"/>
      <c r="J42" s="495"/>
      <c r="K42" s="495"/>
      <c r="L42" s="495"/>
      <c r="M42" s="495"/>
      <c r="N42" s="495"/>
      <c r="O42" s="495"/>
      <c r="P42" s="495"/>
      <c r="Q42" s="495"/>
      <c r="R42" s="495"/>
      <c r="S42" s="495"/>
      <c r="T42" s="495"/>
      <c r="U42" s="495"/>
      <c r="V42" s="495"/>
      <c r="W42" s="495"/>
      <c r="X42" s="495"/>
      <c r="Y42" s="495"/>
      <c r="Z42" s="495"/>
      <c r="AA42" s="495"/>
      <c r="AB42" s="495"/>
      <c r="AC42" s="495"/>
      <c r="AD42" s="495"/>
      <c r="AE42" s="495"/>
      <c r="AF42" s="496"/>
    </row>
  </sheetData>
  <mergeCells count="59">
    <mergeCell ref="A9:H9"/>
    <mergeCell ref="I9:AA9"/>
    <mergeCell ref="A2:H5"/>
    <mergeCell ref="I2:AF3"/>
    <mergeCell ref="I4:AA4"/>
    <mergeCell ref="I5:AA5"/>
    <mergeCell ref="AB5:AF5"/>
    <mergeCell ref="A6:H6"/>
    <mergeCell ref="I6:AA6"/>
    <mergeCell ref="A7:H7"/>
    <mergeCell ref="I7:AA7"/>
    <mergeCell ref="AB7:AF7"/>
    <mergeCell ref="A8:H8"/>
    <mergeCell ref="I8:AA8"/>
    <mergeCell ref="A11:C11"/>
    <mergeCell ref="D11:AF11"/>
    <mergeCell ref="A13:A15"/>
    <mergeCell ref="B13:F15"/>
    <mergeCell ref="G13:G15"/>
    <mergeCell ref="H13:H15"/>
    <mergeCell ref="I13:AF13"/>
    <mergeCell ref="I14:J14"/>
    <mergeCell ref="K14:L14"/>
    <mergeCell ref="M14:N14"/>
    <mergeCell ref="AA14:AB14"/>
    <mergeCell ref="AE14:AF14"/>
    <mergeCell ref="AC14:AD14"/>
    <mergeCell ref="B26:F26"/>
    <mergeCell ref="Q14:R14"/>
    <mergeCell ref="Y14:Z14"/>
    <mergeCell ref="S14:T14"/>
    <mergeCell ref="U14:V14"/>
    <mergeCell ref="O14:P14"/>
    <mergeCell ref="B16:F16"/>
    <mergeCell ref="B17:F17"/>
    <mergeCell ref="W14:X14"/>
    <mergeCell ref="B27:F27"/>
    <mergeCell ref="B28:F28"/>
    <mergeCell ref="B29:F29"/>
    <mergeCell ref="B32:F32"/>
    <mergeCell ref="A33:F33"/>
    <mergeCell ref="B30:F30"/>
    <mergeCell ref="B31:F31"/>
    <mergeCell ref="A42:J42"/>
    <mergeCell ref="K42:AF42"/>
    <mergeCell ref="B18:F18"/>
    <mergeCell ref="B19:F19"/>
    <mergeCell ref="B20:F20"/>
    <mergeCell ref="B21:F21"/>
    <mergeCell ref="B22:F22"/>
    <mergeCell ref="B23:F23"/>
    <mergeCell ref="B24:F24"/>
    <mergeCell ref="B25:F25"/>
    <mergeCell ref="A34:F34"/>
    <mergeCell ref="O36:AF36"/>
    <mergeCell ref="A40:J40"/>
    <mergeCell ref="K40:AF40"/>
    <mergeCell ref="A41:J41"/>
    <mergeCell ref="K41:AF41"/>
  </mergeCells>
  <phoneticPr fontId="24" type="noConversion"/>
  <pageMargins left="0.39370078740157483" right="0.39370078740157483" top="0.78740157480314965" bottom="0.78740157480314965" header="0.51181102362204722" footer="0.51181102362204722"/>
  <pageSetup paperSize="9" scale="4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9BD7-D1B3-43F7-9402-97A7810E2CC7}">
  <sheetPr>
    <pageSetUpPr fitToPage="1"/>
  </sheetPr>
  <dimension ref="A2:P34"/>
  <sheetViews>
    <sheetView view="pageBreakPreview" zoomScale="115" zoomScaleNormal="100" zoomScaleSheetLayoutView="115" workbookViewId="0">
      <selection activeCell="A17" sqref="A17"/>
    </sheetView>
  </sheetViews>
  <sheetFormatPr defaultRowHeight="12.75" x14ac:dyDescent="0.2"/>
  <cols>
    <col min="1" max="6" width="9" style="357"/>
    <col min="7" max="7" width="10.25" style="357" customWidth="1"/>
    <col min="8" max="8" width="12" style="357" customWidth="1"/>
    <col min="9" max="9" width="9" style="357"/>
    <col min="10" max="10" width="8.75" style="357" customWidth="1"/>
    <col min="11" max="11" width="9.25" style="357" customWidth="1"/>
    <col min="12" max="12" width="8.75" style="357" customWidth="1"/>
    <col min="13" max="13" width="9" style="357" customWidth="1"/>
    <col min="14" max="14" width="8.625" style="357" customWidth="1"/>
    <col min="15" max="15" width="9.875" style="357" customWidth="1"/>
    <col min="16" max="16" width="11.125" style="357" customWidth="1"/>
    <col min="17" max="229" width="9" style="357"/>
    <col min="230" max="230" width="10.25" style="357" customWidth="1"/>
    <col min="231" max="231" width="12" style="357" customWidth="1"/>
    <col min="232" max="232" width="9" style="357"/>
    <col min="233" max="233" width="8.75" style="357" customWidth="1"/>
    <col min="234" max="234" width="9.25" style="357" customWidth="1"/>
    <col min="235" max="235" width="8.75" style="357" customWidth="1"/>
    <col min="236" max="236" width="9" style="357"/>
    <col min="237" max="237" width="8.625" style="357" customWidth="1"/>
    <col min="238" max="238" width="9.875" style="357" customWidth="1"/>
    <col min="239" max="239" width="11.125" style="357" customWidth="1"/>
    <col min="240" max="485" width="9" style="357"/>
    <col min="486" max="486" width="10.25" style="357" customWidth="1"/>
    <col min="487" max="487" width="12" style="357" customWidth="1"/>
    <col min="488" max="488" width="9" style="357"/>
    <col min="489" max="489" width="8.75" style="357" customWidth="1"/>
    <col min="490" max="490" width="9.25" style="357" customWidth="1"/>
    <col min="491" max="491" width="8.75" style="357" customWidth="1"/>
    <col min="492" max="492" width="9" style="357"/>
    <col min="493" max="493" width="8.625" style="357" customWidth="1"/>
    <col min="494" max="494" width="9.875" style="357" customWidth="1"/>
    <col min="495" max="495" width="11.125" style="357" customWidth="1"/>
    <col min="496" max="741" width="9" style="357"/>
    <col min="742" max="742" width="10.25" style="357" customWidth="1"/>
    <col min="743" max="743" width="12" style="357" customWidth="1"/>
    <col min="744" max="744" width="9" style="357"/>
    <col min="745" max="745" width="8.75" style="357" customWidth="1"/>
    <col min="746" max="746" width="9.25" style="357" customWidth="1"/>
    <col min="747" max="747" width="8.75" style="357" customWidth="1"/>
    <col min="748" max="748" width="9" style="357"/>
    <col min="749" max="749" width="8.625" style="357" customWidth="1"/>
    <col min="750" max="750" width="9.875" style="357" customWidth="1"/>
    <col min="751" max="751" width="11.125" style="357" customWidth="1"/>
    <col min="752" max="997" width="9" style="357"/>
    <col min="998" max="998" width="10.25" style="357" customWidth="1"/>
    <col min="999" max="999" width="12" style="357" customWidth="1"/>
    <col min="1000" max="1000" width="9" style="357"/>
    <col min="1001" max="1001" width="8.75" style="357" customWidth="1"/>
    <col min="1002" max="1002" width="9.25" style="357" customWidth="1"/>
    <col min="1003" max="1003" width="8.75" style="357" customWidth="1"/>
    <col min="1004" max="1004" width="9" style="357"/>
    <col min="1005" max="1005" width="8.625" style="357" customWidth="1"/>
    <col min="1006" max="1006" width="9.875" style="357" customWidth="1"/>
    <col min="1007" max="1007" width="11.125" style="357" customWidth="1"/>
    <col min="1008" max="1253" width="9" style="357"/>
    <col min="1254" max="1254" width="10.25" style="357" customWidth="1"/>
    <col min="1255" max="1255" width="12" style="357" customWidth="1"/>
    <col min="1256" max="1256" width="9" style="357"/>
    <col min="1257" max="1257" width="8.75" style="357" customWidth="1"/>
    <col min="1258" max="1258" width="9.25" style="357" customWidth="1"/>
    <col min="1259" max="1259" width="8.75" style="357" customWidth="1"/>
    <col min="1260" max="1260" width="9" style="357"/>
    <col min="1261" max="1261" width="8.625" style="357" customWidth="1"/>
    <col min="1262" max="1262" width="9.875" style="357" customWidth="1"/>
    <col min="1263" max="1263" width="11.125" style="357" customWidth="1"/>
    <col min="1264" max="1509" width="9" style="357"/>
    <col min="1510" max="1510" width="10.25" style="357" customWidth="1"/>
    <col min="1511" max="1511" width="12" style="357" customWidth="1"/>
    <col min="1512" max="1512" width="9" style="357"/>
    <col min="1513" max="1513" width="8.75" style="357" customWidth="1"/>
    <col min="1514" max="1514" width="9.25" style="357" customWidth="1"/>
    <col min="1515" max="1515" width="8.75" style="357" customWidth="1"/>
    <col min="1516" max="1516" width="9" style="357"/>
    <col min="1517" max="1517" width="8.625" style="357" customWidth="1"/>
    <col min="1518" max="1518" width="9.875" style="357" customWidth="1"/>
    <col min="1519" max="1519" width="11.125" style="357" customWidth="1"/>
    <col min="1520" max="1765" width="9" style="357"/>
    <col min="1766" max="1766" width="10.25" style="357" customWidth="1"/>
    <col min="1767" max="1767" width="12" style="357" customWidth="1"/>
    <col min="1768" max="1768" width="9" style="357"/>
    <col min="1769" max="1769" width="8.75" style="357" customWidth="1"/>
    <col min="1770" max="1770" width="9.25" style="357" customWidth="1"/>
    <col min="1771" max="1771" width="8.75" style="357" customWidth="1"/>
    <col min="1772" max="1772" width="9" style="357"/>
    <col min="1773" max="1773" width="8.625" style="357" customWidth="1"/>
    <col min="1774" max="1774" width="9.875" style="357" customWidth="1"/>
    <col min="1775" max="1775" width="11.125" style="357" customWidth="1"/>
    <col min="1776" max="2021" width="9" style="357"/>
    <col min="2022" max="2022" width="10.25" style="357" customWidth="1"/>
    <col min="2023" max="2023" width="12" style="357" customWidth="1"/>
    <col min="2024" max="2024" width="9" style="357"/>
    <col min="2025" max="2025" width="8.75" style="357" customWidth="1"/>
    <col min="2026" max="2026" width="9.25" style="357" customWidth="1"/>
    <col min="2027" max="2027" width="8.75" style="357" customWidth="1"/>
    <col min="2028" max="2028" width="9" style="357"/>
    <col min="2029" max="2029" width="8.625" style="357" customWidth="1"/>
    <col min="2030" max="2030" width="9.875" style="357" customWidth="1"/>
    <col min="2031" max="2031" width="11.125" style="357" customWidth="1"/>
    <col min="2032" max="2277" width="9" style="357"/>
    <col min="2278" max="2278" width="10.25" style="357" customWidth="1"/>
    <col min="2279" max="2279" width="12" style="357" customWidth="1"/>
    <col min="2280" max="2280" width="9" style="357"/>
    <col min="2281" max="2281" width="8.75" style="357" customWidth="1"/>
    <col min="2282" max="2282" width="9.25" style="357" customWidth="1"/>
    <col min="2283" max="2283" width="8.75" style="357" customWidth="1"/>
    <col min="2284" max="2284" width="9" style="357"/>
    <col min="2285" max="2285" width="8.625" style="357" customWidth="1"/>
    <col min="2286" max="2286" width="9.875" style="357" customWidth="1"/>
    <col min="2287" max="2287" width="11.125" style="357" customWidth="1"/>
    <col min="2288" max="2533" width="9" style="357"/>
    <col min="2534" max="2534" width="10.25" style="357" customWidth="1"/>
    <col min="2535" max="2535" width="12" style="357" customWidth="1"/>
    <col min="2536" max="2536" width="9" style="357"/>
    <col min="2537" max="2537" width="8.75" style="357" customWidth="1"/>
    <col min="2538" max="2538" width="9.25" style="357" customWidth="1"/>
    <col min="2539" max="2539" width="8.75" style="357" customWidth="1"/>
    <col min="2540" max="2540" width="9" style="357"/>
    <col min="2541" max="2541" width="8.625" style="357" customWidth="1"/>
    <col min="2542" max="2542" width="9.875" style="357" customWidth="1"/>
    <col min="2543" max="2543" width="11.125" style="357" customWidth="1"/>
    <col min="2544" max="2789" width="9" style="357"/>
    <col min="2790" max="2790" width="10.25" style="357" customWidth="1"/>
    <col min="2791" max="2791" width="12" style="357" customWidth="1"/>
    <col min="2792" max="2792" width="9" style="357"/>
    <col min="2793" max="2793" width="8.75" style="357" customWidth="1"/>
    <col min="2794" max="2794" width="9.25" style="357" customWidth="1"/>
    <col min="2795" max="2795" width="8.75" style="357" customWidth="1"/>
    <col min="2796" max="2796" width="9" style="357"/>
    <col min="2797" max="2797" width="8.625" style="357" customWidth="1"/>
    <col min="2798" max="2798" width="9.875" style="357" customWidth="1"/>
    <col min="2799" max="2799" width="11.125" style="357" customWidth="1"/>
    <col min="2800" max="3045" width="9" style="357"/>
    <col min="3046" max="3046" width="10.25" style="357" customWidth="1"/>
    <col min="3047" max="3047" width="12" style="357" customWidth="1"/>
    <col min="3048" max="3048" width="9" style="357"/>
    <col min="3049" max="3049" width="8.75" style="357" customWidth="1"/>
    <col min="3050" max="3050" width="9.25" style="357" customWidth="1"/>
    <col min="3051" max="3051" width="8.75" style="357" customWidth="1"/>
    <col min="3052" max="3052" width="9" style="357"/>
    <col min="3053" max="3053" width="8.625" style="357" customWidth="1"/>
    <col min="3054" max="3054" width="9.875" style="357" customWidth="1"/>
    <col min="3055" max="3055" width="11.125" style="357" customWidth="1"/>
    <col min="3056" max="3301" width="9" style="357"/>
    <col min="3302" max="3302" width="10.25" style="357" customWidth="1"/>
    <col min="3303" max="3303" width="12" style="357" customWidth="1"/>
    <col min="3304" max="3304" width="9" style="357"/>
    <col min="3305" max="3305" width="8.75" style="357" customWidth="1"/>
    <col min="3306" max="3306" width="9.25" style="357" customWidth="1"/>
    <col min="3307" max="3307" width="8.75" style="357" customWidth="1"/>
    <col min="3308" max="3308" width="9" style="357"/>
    <col min="3309" max="3309" width="8.625" style="357" customWidth="1"/>
    <col min="3310" max="3310" width="9.875" style="357" customWidth="1"/>
    <col min="3311" max="3311" width="11.125" style="357" customWidth="1"/>
    <col min="3312" max="3557" width="9" style="357"/>
    <col min="3558" max="3558" width="10.25" style="357" customWidth="1"/>
    <col min="3559" max="3559" width="12" style="357" customWidth="1"/>
    <col min="3560" max="3560" width="9" style="357"/>
    <col min="3561" max="3561" width="8.75" style="357" customWidth="1"/>
    <col min="3562" max="3562" width="9.25" style="357" customWidth="1"/>
    <col min="3563" max="3563" width="8.75" style="357" customWidth="1"/>
    <col min="3564" max="3564" width="9" style="357"/>
    <col min="3565" max="3565" width="8.625" style="357" customWidth="1"/>
    <col min="3566" max="3566" width="9.875" style="357" customWidth="1"/>
    <col min="3567" max="3567" width="11.125" style="357" customWidth="1"/>
    <col min="3568" max="3813" width="9" style="357"/>
    <col min="3814" max="3814" width="10.25" style="357" customWidth="1"/>
    <col min="3815" max="3815" width="12" style="357" customWidth="1"/>
    <col min="3816" max="3816" width="9" style="357"/>
    <col min="3817" max="3817" width="8.75" style="357" customWidth="1"/>
    <col min="3818" max="3818" width="9.25" style="357" customWidth="1"/>
    <col min="3819" max="3819" width="8.75" style="357" customWidth="1"/>
    <col min="3820" max="3820" width="9" style="357"/>
    <col min="3821" max="3821" width="8.625" style="357" customWidth="1"/>
    <col min="3822" max="3822" width="9.875" style="357" customWidth="1"/>
    <col min="3823" max="3823" width="11.125" style="357" customWidth="1"/>
    <col min="3824" max="4069" width="9" style="357"/>
    <col min="4070" max="4070" width="10.25" style="357" customWidth="1"/>
    <col min="4071" max="4071" width="12" style="357" customWidth="1"/>
    <col min="4072" max="4072" width="9" style="357"/>
    <col min="4073" max="4073" width="8.75" style="357" customWidth="1"/>
    <col min="4074" max="4074" width="9.25" style="357" customWidth="1"/>
    <col min="4075" max="4075" width="8.75" style="357" customWidth="1"/>
    <col min="4076" max="4076" width="9" style="357"/>
    <col min="4077" max="4077" width="8.625" style="357" customWidth="1"/>
    <col min="4078" max="4078" width="9.875" style="357" customWidth="1"/>
    <col min="4079" max="4079" width="11.125" style="357" customWidth="1"/>
    <col min="4080" max="4325" width="9" style="357"/>
    <col min="4326" max="4326" width="10.25" style="357" customWidth="1"/>
    <col min="4327" max="4327" width="12" style="357" customWidth="1"/>
    <col min="4328" max="4328" width="9" style="357"/>
    <col min="4329" max="4329" width="8.75" style="357" customWidth="1"/>
    <col min="4330" max="4330" width="9.25" style="357" customWidth="1"/>
    <col min="4331" max="4331" width="8.75" style="357" customWidth="1"/>
    <col min="4332" max="4332" width="9" style="357"/>
    <col min="4333" max="4333" width="8.625" style="357" customWidth="1"/>
    <col min="4334" max="4334" width="9.875" style="357" customWidth="1"/>
    <col min="4335" max="4335" width="11.125" style="357" customWidth="1"/>
    <col min="4336" max="4581" width="9" style="357"/>
    <col min="4582" max="4582" width="10.25" style="357" customWidth="1"/>
    <col min="4583" max="4583" width="12" style="357" customWidth="1"/>
    <col min="4584" max="4584" width="9" style="357"/>
    <col min="4585" max="4585" width="8.75" style="357" customWidth="1"/>
    <col min="4586" max="4586" width="9.25" style="357" customWidth="1"/>
    <col min="4587" max="4587" width="8.75" style="357" customWidth="1"/>
    <col min="4588" max="4588" width="9" style="357"/>
    <col min="4589" max="4589" width="8.625" style="357" customWidth="1"/>
    <col min="4590" max="4590" width="9.875" style="357" customWidth="1"/>
    <col min="4591" max="4591" width="11.125" style="357" customWidth="1"/>
    <col min="4592" max="4837" width="9" style="357"/>
    <col min="4838" max="4838" width="10.25" style="357" customWidth="1"/>
    <col min="4839" max="4839" width="12" style="357" customWidth="1"/>
    <col min="4840" max="4840" width="9" style="357"/>
    <col min="4841" max="4841" width="8.75" style="357" customWidth="1"/>
    <col min="4842" max="4842" width="9.25" style="357" customWidth="1"/>
    <col min="4843" max="4843" width="8.75" style="357" customWidth="1"/>
    <col min="4844" max="4844" width="9" style="357"/>
    <col min="4845" max="4845" width="8.625" style="357" customWidth="1"/>
    <col min="4846" max="4846" width="9.875" style="357" customWidth="1"/>
    <col min="4847" max="4847" width="11.125" style="357" customWidth="1"/>
    <col min="4848" max="5093" width="9" style="357"/>
    <col min="5094" max="5094" width="10.25" style="357" customWidth="1"/>
    <col min="5095" max="5095" width="12" style="357" customWidth="1"/>
    <col min="5096" max="5096" width="9" style="357"/>
    <col min="5097" max="5097" width="8.75" style="357" customWidth="1"/>
    <col min="5098" max="5098" width="9.25" style="357" customWidth="1"/>
    <col min="5099" max="5099" width="8.75" style="357" customWidth="1"/>
    <col min="5100" max="5100" width="9" style="357"/>
    <col min="5101" max="5101" width="8.625" style="357" customWidth="1"/>
    <col min="5102" max="5102" width="9.875" style="357" customWidth="1"/>
    <col min="5103" max="5103" width="11.125" style="357" customWidth="1"/>
    <col min="5104" max="5349" width="9" style="357"/>
    <col min="5350" max="5350" width="10.25" style="357" customWidth="1"/>
    <col min="5351" max="5351" width="12" style="357" customWidth="1"/>
    <col min="5352" max="5352" width="9" style="357"/>
    <col min="5353" max="5353" width="8.75" style="357" customWidth="1"/>
    <col min="5354" max="5354" width="9.25" style="357" customWidth="1"/>
    <col min="5355" max="5355" width="8.75" style="357" customWidth="1"/>
    <col min="5356" max="5356" width="9" style="357"/>
    <col min="5357" max="5357" width="8.625" style="357" customWidth="1"/>
    <col min="5358" max="5358" width="9.875" style="357" customWidth="1"/>
    <col min="5359" max="5359" width="11.125" style="357" customWidth="1"/>
    <col min="5360" max="5605" width="9" style="357"/>
    <col min="5606" max="5606" width="10.25" style="357" customWidth="1"/>
    <col min="5607" max="5607" width="12" style="357" customWidth="1"/>
    <col min="5608" max="5608" width="9" style="357"/>
    <col min="5609" max="5609" width="8.75" style="357" customWidth="1"/>
    <col min="5610" max="5610" width="9.25" style="357" customWidth="1"/>
    <col min="5611" max="5611" width="8.75" style="357" customWidth="1"/>
    <col min="5612" max="5612" width="9" style="357"/>
    <col min="5613" max="5613" width="8.625" style="357" customWidth="1"/>
    <col min="5614" max="5614" width="9.875" style="357" customWidth="1"/>
    <col min="5615" max="5615" width="11.125" style="357" customWidth="1"/>
    <col min="5616" max="5861" width="9" style="357"/>
    <col min="5862" max="5862" width="10.25" style="357" customWidth="1"/>
    <col min="5863" max="5863" width="12" style="357" customWidth="1"/>
    <col min="5864" max="5864" width="9" style="357"/>
    <col min="5865" max="5865" width="8.75" style="357" customWidth="1"/>
    <col min="5866" max="5866" width="9.25" style="357" customWidth="1"/>
    <col min="5867" max="5867" width="8.75" style="357" customWidth="1"/>
    <col min="5868" max="5868" width="9" style="357"/>
    <col min="5869" max="5869" width="8.625" style="357" customWidth="1"/>
    <col min="5870" max="5870" width="9.875" style="357" customWidth="1"/>
    <col min="5871" max="5871" width="11.125" style="357" customWidth="1"/>
    <col min="5872" max="6117" width="9" style="357"/>
    <col min="6118" max="6118" width="10.25" style="357" customWidth="1"/>
    <col min="6119" max="6119" width="12" style="357" customWidth="1"/>
    <col min="6120" max="6120" width="9" style="357"/>
    <col min="6121" max="6121" width="8.75" style="357" customWidth="1"/>
    <col min="6122" max="6122" width="9.25" style="357" customWidth="1"/>
    <col min="6123" max="6123" width="8.75" style="357" customWidth="1"/>
    <col min="6124" max="6124" width="9" style="357"/>
    <col min="6125" max="6125" width="8.625" style="357" customWidth="1"/>
    <col min="6126" max="6126" width="9.875" style="357" customWidth="1"/>
    <col min="6127" max="6127" width="11.125" style="357" customWidth="1"/>
    <col min="6128" max="6373" width="9" style="357"/>
    <col min="6374" max="6374" width="10.25" style="357" customWidth="1"/>
    <col min="6375" max="6375" width="12" style="357" customWidth="1"/>
    <col min="6376" max="6376" width="9" style="357"/>
    <col min="6377" max="6377" width="8.75" style="357" customWidth="1"/>
    <col min="6378" max="6378" width="9.25" style="357" customWidth="1"/>
    <col min="6379" max="6379" width="8.75" style="357" customWidth="1"/>
    <col min="6380" max="6380" width="9" style="357"/>
    <col min="6381" max="6381" width="8.625" style="357" customWidth="1"/>
    <col min="6382" max="6382" width="9.875" style="357" customWidth="1"/>
    <col min="6383" max="6383" width="11.125" style="357" customWidth="1"/>
    <col min="6384" max="6629" width="9" style="357"/>
    <col min="6630" max="6630" width="10.25" style="357" customWidth="1"/>
    <col min="6631" max="6631" width="12" style="357" customWidth="1"/>
    <col min="6632" max="6632" width="9" style="357"/>
    <col min="6633" max="6633" width="8.75" style="357" customWidth="1"/>
    <col min="6634" max="6634" width="9.25" style="357" customWidth="1"/>
    <col min="6635" max="6635" width="8.75" style="357" customWidth="1"/>
    <col min="6636" max="6636" width="9" style="357"/>
    <col min="6637" max="6637" width="8.625" style="357" customWidth="1"/>
    <col min="6638" max="6638" width="9.875" style="357" customWidth="1"/>
    <col min="6639" max="6639" width="11.125" style="357" customWidth="1"/>
    <col min="6640" max="6885" width="9" style="357"/>
    <col min="6886" max="6886" width="10.25" style="357" customWidth="1"/>
    <col min="6887" max="6887" width="12" style="357" customWidth="1"/>
    <col min="6888" max="6888" width="9" style="357"/>
    <col min="6889" max="6889" width="8.75" style="357" customWidth="1"/>
    <col min="6890" max="6890" width="9.25" style="357" customWidth="1"/>
    <col min="6891" max="6891" width="8.75" style="357" customWidth="1"/>
    <col min="6892" max="6892" width="9" style="357"/>
    <col min="6893" max="6893" width="8.625" style="357" customWidth="1"/>
    <col min="6894" max="6894" width="9.875" style="357" customWidth="1"/>
    <col min="6895" max="6895" width="11.125" style="357" customWidth="1"/>
    <col min="6896" max="7141" width="9" style="357"/>
    <col min="7142" max="7142" width="10.25" style="357" customWidth="1"/>
    <col min="7143" max="7143" width="12" style="357" customWidth="1"/>
    <col min="7144" max="7144" width="9" style="357"/>
    <col min="7145" max="7145" width="8.75" style="357" customWidth="1"/>
    <col min="7146" max="7146" width="9.25" style="357" customWidth="1"/>
    <col min="7147" max="7147" width="8.75" style="357" customWidth="1"/>
    <col min="7148" max="7148" width="9" style="357"/>
    <col min="7149" max="7149" width="8.625" style="357" customWidth="1"/>
    <col min="7150" max="7150" width="9.875" style="357" customWidth="1"/>
    <col min="7151" max="7151" width="11.125" style="357" customWidth="1"/>
    <col min="7152" max="7397" width="9" style="357"/>
    <col min="7398" max="7398" width="10.25" style="357" customWidth="1"/>
    <col min="7399" max="7399" width="12" style="357" customWidth="1"/>
    <col min="7400" max="7400" width="9" style="357"/>
    <col min="7401" max="7401" width="8.75" style="357" customWidth="1"/>
    <col min="7402" max="7402" width="9.25" style="357" customWidth="1"/>
    <col min="7403" max="7403" width="8.75" style="357" customWidth="1"/>
    <col min="7404" max="7404" width="9" style="357"/>
    <col min="7405" max="7405" width="8.625" style="357" customWidth="1"/>
    <col min="7406" max="7406" width="9.875" style="357" customWidth="1"/>
    <col min="7407" max="7407" width="11.125" style="357" customWidth="1"/>
    <col min="7408" max="7653" width="9" style="357"/>
    <col min="7654" max="7654" width="10.25" style="357" customWidth="1"/>
    <col min="7655" max="7655" width="12" style="357" customWidth="1"/>
    <col min="7656" max="7656" width="9" style="357"/>
    <col min="7657" max="7657" width="8.75" style="357" customWidth="1"/>
    <col min="7658" max="7658" width="9.25" style="357" customWidth="1"/>
    <col min="7659" max="7659" width="8.75" style="357" customWidth="1"/>
    <col min="7660" max="7660" width="9" style="357"/>
    <col min="7661" max="7661" width="8.625" style="357" customWidth="1"/>
    <col min="7662" max="7662" width="9.875" style="357" customWidth="1"/>
    <col min="7663" max="7663" width="11.125" style="357" customWidth="1"/>
    <col min="7664" max="7909" width="9" style="357"/>
    <col min="7910" max="7910" width="10.25" style="357" customWidth="1"/>
    <col min="7911" max="7911" width="12" style="357" customWidth="1"/>
    <col min="7912" max="7912" width="9" style="357"/>
    <col min="7913" max="7913" width="8.75" style="357" customWidth="1"/>
    <col min="7914" max="7914" width="9.25" style="357" customWidth="1"/>
    <col min="7915" max="7915" width="8.75" style="357" customWidth="1"/>
    <col min="7916" max="7916" width="9" style="357"/>
    <col min="7917" max="7917" width="8.625" style="357" customWidth="1"/>
    <col min="7918" max="7918" width="9.875" style="357" customWidth="1"/>
    <col min="7919" max="7919" width="11.125" style="357" customWidth="1"/>
    <col min="7920" max="8165" width="9" style="357"/>
    <col min="8166" max="8166" width="10.25" style="357" customWidth="1"/>
    <col min="8167" max="8167" width="12" style="357" customWidth="1"/>
    <col min="8168" max="8168" width="9" style="357"/>
    <col min="8169" max="8169" width="8.75" style="357" customWidth="1"/>
    <col min="8170" max="8170" width="9.25" style="357" customWidth="1"/>
    <col min="8171" max="8171" width="8.75" style="357" customWidth="1"/>
    <col min="8172" max="8172" width="9" style="357"/>
    <col min="8173" max="8173" width="8.625" style="357" customWidth="1"/>
    <col min="8174" max="8174" width="9.875" style="357" customWidth="1"/>
    <col min="8175" max="8175" width="11.125" style="357" customWidth="1"/>
    <col min="8176" max="8421" width="9" style="357"/>
    <col min="8422" max="8422" width="10.25" style="357" customWidth="1"/>
    <col min="8423" max="8423" width="12" style="357" customWidth="1"/>
    <col min="8424" max="8424" width="9" style="357"/>
    <col min="8425" max="8425" width="8.75" style="357" customWidth="1"/>
    <col min="8426" max="8426" width="9.25" style="357" customWidth="1"/>
    <col min="8427" max="8427" width="8.75" style="357" customWidth="1"/>
    <col min="8428" max="8428" width="9" style="357"/>
    <col min="8429" max="8429" width="8.625" style="357" customWidth="1"/>
    <col min="8430" max="8430" width="9.875" style="357" customWidth="1"/>
    <col min="8431" max="8431" width="11.125" style="357" customWidth="1"/>
    <col min="8432" max="8677" width="9" style="357"/>
    <col min="8678" max="8678" width="10.25" style="357" customWidth="1"/>
    <col min="8679" max="8679" width="12" style="357" customWidth="1"/>
    <col min="8680" max="8680" width="9" style="357"/>
    <col min="8681" max="8681" width="8.75" style="357" customWidth="1"/>
    <col min="8682" max="8682" width="9.25" style="357" customWidth="1"/>
    <col min="8683" max="8683" width="8.75" style="357" customWidth="1"/>
    <col min="8684" max="8684" width="9" style="357"/>
    <col min="8685" max="8685" width="8.625" style="357" customWidth="1"/>
    <col min="8686" max="8686" width="9.875" style="357" customWidth="1"/>
    <col min="8687" max="8687" width="11.125" style="357" customWidth="1"/>
    <col min="8688" max="8933" width="9" style="357"/>
    <col min="8934" max="8934" width="10.25" style="357" customWidth="1"/>
    <col min="8935" max="8935" width="12" style="357" customWidth="1"/>
    <col min="8936" max="8936" width="9" style="357"/>
    <col min="8937" max="8937" width="8.75" style="357" customWidth="1"/>
    <col min="8938" max="8938" width="9.25" style="357" customWidth="1"/>
    <col min="8939" max="8939" width="8.75" style="357" customWidth="1"/>
    <col min="8940" max="8940" width="9" style="357"/>
    <col min="8941" max="8941" width="8.625" style="357" customWidth="1"/>
    <col min="8942" max="8942" width="9.875" style="357" customWidth="1"/>
    <col min="8943" max="8943" width="11.125" style="357" customWidth="1"/>
    <col min="8944" max="9189" width="9" style="357"/>
    <col min="9190" max="9190" width="10.25" style="357" customWidth="1"/>
    <col min="9191" max="9191" width="12" style="357" customWidth="1"/>
    <col min="9192" max="9192" width="9" style="357"/>
    <col min="9193" max="9193" width="8.75" style="357" customWidth="1"/>
    <col min="9194" max="9194" width="9.25" style="357" customWidth="1"/>
    <col min="9195" max="9195" width="8.75" style="357" customWidth="1"/>
    <col min="9196" max="9196" width="9" style="357"/>
    <col min="9197" max="9197" width="8.625" style="357" customWidth="1"/>
    <col min="9198" max="9198" width="9.875" style="357" customWidth="1"/>
    <col min="9199" max="9199" width="11.125" style="357" customWidth="1"/>
    <col min="9200" max="9445" width="9" style="357"/>
    <col min="9446" max="9446" width="10.25" style="357" customWidth="1"/>
    <col min="9447" max="9447" width="12" style="357" customWidth="1"/>
    <col min="9448" max="9448" width="9" style="357"/>
    <col min="9449" max="9449" width="8.75" style="357" customWidth="1"/>
    <col min="9450" max="9450" width="9.25" style="357" customWidth="1"/>
    <col min="9451" max="9451" width="8.75" style="357" customWidth="1"/>
    <col min="9452" max="9452" width="9" style="357"/>
    <col min="9453" max="9453" width="8.625" style="357" customWidth="1"/>
    <col min="9454" max="9454" width="9.875" style="357" customWidth="1"/>
    <col min="9455" max="9455" width="11.125" style="357" customWidth="1"/>
    <col min="9456" max="9701" width="9" style="357"/>
    <col min="9702" max="9702" width="10.25" style="357" customWidth="1"/>
    <col min="9703" max="9703" width="12" style="357" customWidth="1"/>
    <col min="9704" max="9704" width="9" style="357"/>
    <col min="9705" max="9705" width="8.75" style="357" customWidth="1"/>
    <col min="9706" max="9706" width="9.25" style="357" customWidth="1"/>
    <col min="9707" max="9707" width="8.75" style="357" customWidth="1"/>
    <col min="9708" max="9708" width="9" style="357"/>
    <col min="9709" max="9709" width="8.625" style="357" customWidth="1"/>
    <col min="9710" max="9710" width="9.875" style="357" customWidth="1"/>
    <col min="9711" max="9711" width="11.125" style="357" customWidth="1"/>
    <col min="9712" max="9957" width="9" style="357"/>
    <col min="9958" max="9958" width="10.25" style="357" customWidth="1"/>
    <col min="9959" max="9959" width="12" style="357" customWidth="1"/>
    <col min="9960" max="9960" width="9" style="357"/>
    <col min="9961" max="9961" width="8.75" style="357" customWidth="1"/>
    <col min="9962" max="9962" width="9.25" style="357" customWidth="1"/>
    <col min="9963" max="9963" width="8.75" style="357" customWidth="1"/>
    <col min="9964" max="9964" width="9" style="357"/>
    <col min="9965" max="9965" width="8.625" style="357" customWidth="1"/>
    <col min="9966" max="9966" width="9.875" style="357" customWidth="1"/>
    <col min="9967" max="9967" width="11.125" style="357" customWidth="1"/>
    <col min="9968" max="10213" width="9" style="357"/>
    <col min="10214" max="10214" width="10.25" style="357" customWidth="1"/>
    <col min="10215" max="10215" width="12" style="357" customWidth="1"/>
    <col min="10216" max="10216" width="9" style="357"/>
    <col min="10217" max="10217" width="8.75" style="357" customWidth="1"/>
    <col min="10218" max="10218" width="9.25" style="357" customWidth="1"/>
    <col min="10219" max="10219" width="8.75" style="357" customWidth="1"/>
    <col min="10220" max="10220" width="9" style="357"/>
    <col min="10221" max="10221" width="8.625" style="357" customWidth="1"/>
    <col min="10222" max="10222" width="9.875" style="357" customWidth="1"/>
    <col min="10223" max="10223" width="11.125" style="357" customWidth="1"/>
    <col min="10224" max="10469" width="9" style="357"/>
    <col min="10470" max="10470" width="10.25" style="357" customWidth="1"/>
    <col min="10471" max="10471" width="12" style="357" customWidth="1"/>
    <col min="10472" max="10472" width="9" style="357"/>
    <col min="10473" max="10473" width="8.75" style="357" customWidth="1"/>
    <col min="10474" max="10474" width="9.25" style="357" customWidth="1"/>
    <col min="10475" max="10475" width="8.75" style="357" customWidth="1"/>
    <col min="10476" max="10476" width="9" style="357"/>
    <col min="10477" max="10477" width="8.625" style="357" customWidth="1"/>
    <col min="10478" max="10478" width="9.875" style="357" customWidth="1"/>
    <col min="10479" max="10479" width="11.125" style="357" customWidth="1"/>
    <col min="10480" max="10725" width="9" style="357"/>
    <col min="10726" max="10726" width="10.25" style="357" customWidth="1"/>
    <col min="10727" max="10727" width="12" style="357" customWidth="1"/>
    <col min="10728" max="10728" width="9" style="357"/>
    <col min="10729" max="10729" width="8.75" style="357" customWidth="1"/>
    <col min="10730" max="10730" width="9.25" style="357" customWidth="1"/>
    <col min="10731" max="10731" width="8.75" style="357" customWidth="1"/>
    <col min="10732" max="10732" width="9" style="357"/>
    <col min="10733" max="10733" width="8.625" style="357" customWidth="1"/>
    <col min="10734" max="10734" width="9.875" style="357" customWidth="1"/>
    <col min="10735" max="10735" width="11.125" style="357" customWidth="1"/>
    <col min="10736" max="10981" width="9" style="357"/>
    <col min="10982" max="10982" width="10.25" style="357" customWidth="1"/>
    <col min="10983" max="10983" width="12" style="357" customWidth="1"/>
    <col min="10984" max="10984" width="9" style="357"/>
    <col min="10985" max="10985" width="8.75" style="357" customWidth="1"/>
    <col min="10986" max="10986" width="9.25" style="357" customWidth="1"/>
    <col min="10987" max="10987" width="8.75" style="357" customWidth="1"/>
    <col min="10988" max="10988" width="9" style="357"/>
    <col min="10989" max="10989" width="8.625" style="357" customWidth="1"/>
    <col min="10990" max="10990" width="9.875" style="357" customWidth="1"/>
    <col min="10991" max="10991" width="11.125" style="357" customWidth="1"/>
    <col min="10992" max="11237" width="9" style="357"/>
    <col min="11238" max="11238" width="10.25" style="357" customWidth="1"/>
    <col min="11239" max="11239" width="12" style="357" customWidth="1"/>
    <col min="11240" max="11240" width="9" style="357"/>
    <col min="11241" max="11241" width="8.75" style="357" customWidth="1"/>
    <col min="11242" max="11242" width="9.25" style="357" customWidth="1"/>
    <col min="11243" max="11243" width="8.75" style="357" customWidth="1"/>
    <col min="11244" max="11244" width="9" style="357"/>
    <col min="11245" max="11245" width="8.625" style="357" customWidth="1"/>
    <col min="11246" max="11246" width="9.875" style="357" customWidth="1"/>
    <col min="11247" max="11247" width="11.125" style="357" customWidth="1"/>
    <col min="11248" max="11493" width="9" style="357"/>
    <col min="11494" max="11494" width="10.25" style="357" customWidth="1"/>
    <col min="11495" max="11495" width="12" style="357" customWidth="1"/>
    <col min="11496" max="11496" width="9" style="357"/>
    <col min="11497" max="11497" width="8.75" style="357" customWidth="1"/>
    <col min="11498" max="11498" width="9.25" style="357" customWidth="1"/>
    <col min="11499" max="11499" width="8.75" style="357" customWidth="1"/>
    <col min="11500" max="11500" width="9" style="357"/>
    <col min="11501" max="11501" width="8.625" style="357" customWidth="1"/>
    <col min="11502" max="11502" width="9.875" style="357" customWidth="1"/>
    <col min="11503" max="11503" width="11.125" style="357" customWidth="1"/>
    <col min="11504" max="11749" width="9" style="357"/>
    <col min="11750" max="11750" width="10.25" style="357" customWidth="1"/>
    <col min="11751" max="11751" width="12" style="357" customWidth="1"/>
    <col min="11752" max="11752" width="9" style="357"/>
    <col min="11753" max="11753" width="8.75" style="357" customWidth="1"/>
    <col min="11754" max="11754" width="9.25" style="357" customWidth="1"/>
    <col min="11755" max="11755" width="8.75" style="357" customWidth="1"/>
    <col min="11756" max="11756" width="9" style="357"/>
    <col min="11757" max="11757" width="8.625" style="357" customWidth="1"/>
    <col min="11758" max="11758" width="9.875" style="357" customWidth="1"/>
    <col min="11759" max="11759" width="11.125" style="357" customWidth="1"/>
    <col min="11760" max="12005" width="9" style="357"/>
    <col min="12006" max="12006" width="10.25" style="357" customWidth="1"/>
    <col min="12007" max="12007" width="12" style="357" customWidth="1"/>
    <col min="12008" max="12008" width="9" style="357"/>
    <col min="12009" max="12009" width="8.75" style="357" customWidth="1"/>
    <col min="12010" max="12010" width="9.25" style="357" customWidth="1"/>
    <col min="12011" max="12011" width="8.75" style="357" customWidth="1"/>
    <col min="12012" max="12012" width="9" style="357"/>
    <col min="12013" max="12013" width="8.625" style="357" customWidth="1"/>
    <col min="12014" max="12014" width="9.875" style="357" customWidth="1"/>
    <col min="12015" max="12015" width="11.125" style="357" customWidth="1"/>
    <col min="12016" max="12261" width="9" style="357"/>
    <col min="12262" max="12262" width="10.25" style="357" customWidth="1"/>
    <col min="12263" max="12263" width="12" style="357" customWidth="1"/>
    <col min="12264" max="12264" width="9" style="357"/>
    <col min="12265" max="12265" width="8.75" style="357" customWidth="1"/>
    <col min="12266" max="12266" width="9.25" style="357" customWidth="1"/>
    <col min="12267" max="12267" width="8.75" style="357" customWidth="1"/>
    <col min="12268" max="12268" width="9" style="357"/>
    <col min="12269" max="12269" width="8.625" style="357" customWidth="1"/>
    <col min="12270" max="12270" width="9.875" style="357" customWidth="1"/>
    <col min="12271" max="12271" width="11.125" style="357" customWidth="1"/>
    <col min="12272" max="12517" width="9" style="357"/>
    <col min="12518" max="12518" width="10.25" style="357" customWidth="1"/>
    <col min="12519" max="12519" width="12" style="357" customWidth="1"/>
    <col min="12520" max="12520" width="9" style="357"/>
    <col min="12521" max="12521" width="8.75" style="357" customWidth="1"/>
    <col min="12522" max="12522" width="9.25" style="357" customWidth="1"/>
    <col min="12523" max="12523" width="8.75" style="357" customWidth="1"/>
    <col min="12524" max="12524" width="9" style="357"/>
    <col min="12525" max="12525" width="8.625" style="357" customWidth="1"/>
    <col min="12526" max="12526" width="9.875" style="357" customWidth="1"/>
    <col min="12527" max="12527" width="11.125" style="357" customWidth="1"/>
    <col min="12528" max="12773" width="9" style="357"/>
    <col min="12774" max="12774" width="10.25" style="357" customWidth="1"/>
    <col min="12775" max="12775" width="12" style="357" customWidth="1"/>
    <col min="12776" max="12776" width="9" style="357"/>
    <col min="12777" max="12777" width="8.75" style="357" customWidth="1"/>
    <col min="12778" max="12778" width="9.25" style="357" customWidth="1"/>
    <col min="12779" max="12779" width="8.75" style="357" customWidth="1"/>
    <col min="12780" max="12780" width="9" style="357"/>
    <col min="12781" max="12781" width="8.625" style="357" customWidth="1"/>
    <col min="12782" max="12782" width="9.875" style="357" customWidth="1"/>
    <col min="12783" max="12783" width="11.125" style="357" customWidth="1"/>
    <col min="12784" max="13029" width="9" style="357"/>
    <col min="13030" max="13030" width="10.25" style="357" customWidth="1"/>
    <col min="13031" max="13031" width="12" style="357" customWidth="1"/>
    <col min="13032" max="13032" width="9" style="357"/>
    <col min="13033" max="13033" width="8.75" style="357" customWidth="1"/>
    <col min="13034" max="13034" width="9.25" style="357" customWidth="1"/>
    <col min="13035" max="13035" width="8.75" style="357" customWidth="1"/>
    <col min="13036" max="13036" width="9" style="357"/>
    <col min="13037" max="13037" width="8.625" style="357" customWidth="1"/>
    <col min="13038" max="13038" width="9.875" style="357" customWidth="1"/>
    <col min="13039" max="13039" width="11.125" style="357" customWidth="1"/>
    <col min="13040" max="13285" width="9" style="357"/>
    <col min="13286" max="13286" width="10.25" style="357" customWidth="1"/>
    <col min="13287" max="13287" width="12" style="357" customWidth="1"/>
    <col min="13288" max="13288" width="9" style="357"/>
    <col min="13289" max="13289" width="8.75" style="357" customWidth="1"/>
    <col min="13290" max="13290" width="9.25" style="357" customWidth="1"/>
    <col min="13291" max="13291" width="8.75" style="357" customWidth="1"/>
    <col min="13292" max="13292" width="9" style="357"/>
    <col min="13293" max="13293" width="8.625" style="357" customWidth="1"/>
    <col min="13294" max="13294" width="9.875" style="357" customWidth="1"/>
    <col min="13295" max="13295" width="11.125" style="357" customWidth="1"/>
    <col min="13296" max="13541" width="9" style="357"/>
    <col min="13542" max="13542" width="10.25" style="357" customWidth="1"/>
    <col min="13543" max="13543" width="12" style="357" customWidth="1"/>
    <col min="13544" max="13544" width="9" style="357"/>
    <col min="13545" max="13545" width="8.75" style="357" customWidth="1"/>
    <col min="13546" max="13546" width="9.25" style="357" customWidth="1"/>
    <col min="13547" max="13547" width="8.75" style="357" customWidth="1"/>
    <col min="13548" max="13548" width="9" style="357"/>
    <col min="13549" max="13549" width="8.625" style="357" customWidth="1"/>
    <col min="13550" max="13550" width="9.875" style="357" customWidth="1"/>
    <col min="13551" max="13551" width="11.125" style="357" customWidth="1"/>
    <col min="13552" max="13797" width="9" style="357"/>
    <col min="13798" max="13798" width="10.25" style="357" customWidth="1"/>
    <col min="13799" max="13799" width="12" style="357" customWidth="1"/>
    <col min="13800" max="13800" width="9" style="357"/>
    <col min="13801" max="13801" width="8.75" style="357" customWidth="1"/>
    <col min="13802" max="13802" width="9.25" style="357" customWidth="1"/>
    <col min="13803" max="13803" width="8.75" style="357" customWidth="1"/>
    <col min="13804" max="13804" width="9" style="357"/>
    <col min="13805" max="13805" width="8.625" style="357" customWidth="1"/>
    <col min="13806" max="13806" width="9.875" style="357" customWidth="1"/>
    <col min="13807" max="13807" width="11.125" style="357" customWidth="1"/>
    <col min="13808" max="14053" width="9" style="357"/>
    <col min="14054" max="14054" width="10.25" style="357" customWidth="1"/>
    <col min="14055" max="14055" width="12" style="357" customWidth="1"/>
    <col min="14056" max="14056" width="9" style="357"/>
    <col min="14057" max="14057" width="8.75" style="357" customWidth="1"/>
    <col min="14058" max="14058" width="9.25" style="357" customWidth="1"/>
    <col min="14059" max="14059" width="8.75" style="357" customWidth="1"/>
    <col min="14060" max="14060" width="9" style="357"/>
    <col min="14061" max="14061" width="8.625" style="357" customWidth="1"/>
    <col min="14062" max="14062" width="9.875" style="357" customWidth="1"/>
    <col min="14063" max="14063" width="11.125" style="357" customWidth="1"/>
    <col min="14064" max="14309" width="9" style="357"/>
    <col min="14310" max="14310" width="10.25" style="357" customWidth="1"/>
    <col min="14311" max="14311" width="12" style="357" customWidth="1"/>
    <col min="14312" max="14312" width="9" style="357"/>
    <col min="14313" max="14313" width="8.75" style="357" customWidth="1"/>
    <col min="14314" max="14314" width="9.25" style="357" customWidth="1"/>
    <col min="14315" max="14315" width="8.75" style="357" customWidth="1"/>
    <col min="14316" max="14316" width="9" style="357"/>
    <col min="14317" max="14317" width="8.625" style="357" customWidth="1"/>
    <col min="14318" max="14318" width="9.875" style="357" customWidth="1"/>
    <col min="14319" max="14319" width="11.125" style="357" customWidth="1"/>
    <col min="14320" max="14565" width="9" style="357"/>
    <col min="14566" max="14566" width="10.25" style="357" customWidth="1"/>
    <col min="14567" max="14567" width="12" style="357" customWidth="1"/>
    <col min="14568" max="14568" width="9" style="357"/>
    <col min="14569" max="14569" width="8.75" style="357" customWidth="1"/>
    <col min="14570" max="14570" width="9.25" style="357" customWidth="1"/>
    <col min="14571" max="14571" width="8.75" style="357" customWidth="1"/>
    <col min="14572" max="14572" width="9" style="357"/>
    <col min="14573" max="14573" width="8.625" style="357" customWidth="1"/>
    <col min="14574" max="14574" width="9.875" style="357" customWidth="1"/>
    <col min="14575" max="14575" width="11.125" style="357" customWidth="1"/>
    <col min="14576" max="14821" width="9" style="357"/>
    <col min="14822" max="14822" width="10.25" style="357" customWidth="1"/>
    <col min="14823" max="14823" width="12" style="357" customWidth="1"/>
    <col min="14824" max="14824" width="9" style="357"/>
    <col min="14825" max="14825" width="8.75" style="357" customWidth="1"/>
    <col min="14826" max="14826" width="9.25" style="357" customWidth="1"/>
    <col min="14827" max="14827" width="8.75" style="357" customWidth="1"/>
    <col min="14828" max="14828" width="9" style="357"/>
    <col min="14829" max="14829" width="8.625" style="357" customWidth="1"/>
    <col min="14830" max="14830" width="9.875" style="357" customWidth="1"/>
    <col min="14831" max="14831" width="11.125" style="357" customWidth="1"/>
    <col min="14832" max="15077" width="9" style="357"/>
    <col min="15078" max="15078" width="10.25" style="357" customWidth="1"/>
    <col min="15079" max="15079" width="12" style="357" customWidth="1"/>
    <col min="15080" max="15080" width="9" style="357"/>
    <col min="15081" max="15081" width="8.75" style="357" customWidth="1"/>
    <col min="15082" max="15082" width="9.25" style="357" customWidth="1"/>
    <col min="15083" max="15083" width="8.75" style="357" customWidth="1"/>
    <col min="15084" max="15084" width="9" style="357"/>
    <col min="15085" max="15085" width="8.625" style="357" customWidth="1"/>
    <col min="15086" max="15086" width="9.875" style="357" customWidth="1"/>
    <col min="15087" max="15087" width="11.125" style="357" customWidth="1"/>
    <col min="15088" max="15333" width="9" style="357"/>
    <col min="15334" max="15334" width="10.25" style="357" customWidth="1"/>
    <col min="15335" max="15335" width="12" style="357" customWidth="1"/>
    <col min="15336" max="15336" width="9" style="357"/>
    <col min="15337" max="15337" width="8.75" style="357" customWidth="1"/>
    <col min="15338" max="15338" width="9.25" style="357" customWidth="1"/>
    <col min="15339" max="15339" width="8.75" style="357" customWidth="1"/>
    <col min="15340" max="15340" width="9" style="357"/>
    <col min="15341" max="15341" width="8.625" style="357" customWidth="1"/>
    <col min="15342" max="15342" width="9.875" style="357" customWidth="1"/>
    <col min="15343" max="15343" width="11.125" style="357" customWidth="1"/>
    <col min="15344" max="15589" width="9" style="357"/>
    <col min="15590" max="15590" width="10.25" style="357" customWidth="1"/>
    <col min="15591" max="15591" width="12" style="357" customWidth="1"/>
    <col min="15592" max="15592" width="9" style="357"/>
    <col min="15593" max="15593" width="8.75" style="357" customWidth="1"/>
    <col min="15594" max="15594" width="9.25" style="357" customWidth="1"/>
    <col min="15595" max="15595" width="8.75" style="357" customWidth="1"/>
    <col min="15596" max="15596" width="9" style="357"/>
    <col min="15597" max="15597" width="8.625" style="357" customWidth="1"/>
    <col min="15598" max="15598" width="9.875" style="357" customWidth="1"/>
    <col min="15599" max="15599" width="11.125" style="357" customWidth="1"/>
    <col min="15600" max="15845" width="9" style="357"/>
    <col min="15846" max="15846" width="10.25" style="357" customWidth="1"/>
    <col min="15847" max="15847" width="12" style="357" customWidth="1"/>
    <col min="15848" max="15848" width="9" style="357"/>
    <col min="15849" max="15849" width="8.75" style="357" customWidth="1"/>
    <col min="15850" max="15850" width="9.25" style="357" customWidth="1"/>
    <col min="15851" max="15851" width="8.75" style="357" customWidth="1"/>
    <col min="15852" max="15852" width="9" style="357"/>
    <col min="15853" max="15853" width="8.625" style="357" customWidth="1"/>
    <col min="15854" max="15854" width="9.875" style="357" customWidth="1"/>
    <col min="15855" max="15855" width="11.125" style="357" customWidth="1"/>
    <col min="15856" max="16101" width="9" style="357"/>
    <col min="16102" max="16102" width="10.25" style="357" customWidth="1"/>
    <col min="16103" max="16103" width="12" style="357" customWidth="1"/>
    <col min="16104" max="16104" width="9" style="357"/>
    <col min="16105" max="16105" width="8.75" style="357" customWidth="1"/>
    <col min="16106" max="16106" width="9.25" style="357" customWidth="1"/>
    <col min="16107" max="16107" width="8.75" style="357" customWidth="1"/>
    <col min="16108" max="16108" width="9" style="357"/>
    <col min="16109" max="16109" width="8.625" style="357" customWidth="1"/>
    <col min="16110" max="16110" width="9.875" style="357" customWidth="1"/>
    <col min="16111" max="16111" width="11.125" style="357" customWidth="1"/>
    <col min="16112" max="16384" width="9" style="357"/>
  </cols>
  <sheetData>
    <row r="2" spans="2:16" ht="15.75" x14ac:dyDescent="0.25">
      <c r="B2" s="569" t="s">
        <v>1134</v>
      </c>
      <c r="C2" s="569"/>
      <c r="D2" s="569"/>
      <c r="E2" s="569"/>
      <c r="F2" s="569"/>
      <c r="G2" s="569"/>
      <c r="H2" s="569"/>
      <c r="J2" s="569" t="s">
        <v>1135</v>
      </c>
      <c r="K2" s="569"/>
      <c r="L2" s="569"/>
      <c r="M2" s="569"/>
      <c r="N2" s="569"/>
      <c r="O2" s="569"/>
      <c r="P2" s="569"/>
    </row>
    <row r="3" spans="2:16" x14ac:dyDescent="0.2">
      <c r="B3" s="561"/>
      <c r="C3" s="561"/>
      <c r="D3" s="561"/>
      <c r="E3" s="561"/>
      <c r="F3" s="561"/>
      <c r="G3" s="561"/>
      <c r="H3" s="561"/>
      <c r="J3" s="561"/>
      <c r="K3" s="561"/>
      <c r="L3" s="561"/>
      <c r="M3" s="561"/>
      <c r="N3" s="561"/>
      <c r="O3" s="561"/>
      <c r="P3" s="561"/>
    </row>
    <row r="4" spans="2:16" ht="26.25" customHeight="1" x14ac:dyDescent="0.2">
      <c r="B4" s="563" t="s">
        <v>1008</v>
      </c>
      <c r="C4" s="563"/>
      <c r="D4" s="563"/>
      <c r="E4" s="563"/>
      <c r="F4" s="563"/>
      <c r="G4" s="563"/>
      <c r="H4" s="563"/>
      <c r="J4" s="563"/>
      <c r="K4" s="563"/>
      <c r="L4" s="563"/>
      <c r="M4" s="563"/>
      <c r="N4" s="563"/>
      <c r="O4" s="563"/>
      <c r="P4" s="563"/>
    </row>
    <row r="5" spans="2:16" x14ac:dyDescent="0.2">
      <c r="B5" s="561"/>
      <c r="C5" s="561"/>
      <c r="D5" s="561"/>
      <c r="E5" s="561"/>
      <c r="F5" s="561"/>
      <c r="G5" s="561"/>
      <c r="H5" s="561"/>
      <c r="J5" s="561"/>
      <c r="K5" s="561"/>
      <c r="L5" s="561"/>
      <c r="M5" s="561"/>
      <c r="N5" s="561"/>
      <c r="O5" s="561"/>
      <c r="P5" s="561"/>
    </row>
    <row r="6" spans="2:16" x14ac:dyDescent="0.2">
      <c r="B6" s="562" t="s">
        <v>1136</v>
      </c>
      <c r="C6" s="562"/>
      <c r="D6" s="562"/>
      <c r="E6" s="562"/>
      <c r="F6" s="562"/>
      <c r="G6" s="562"/>
      <c r="H6" s="358">
        <v>0.37</v>
      </c>
      <c r="J6" s="562" t="s">
        <v>1136</v>
      </c>
      <c r="K6" s="562"/>
      <c r="L6" s="562"/>
      <c r="M6" s="562"/>
      <c r="N6" s="562"/>
      <c r="O6" s="562"/>
      <c r="P6" s="358">
        <v>0.37</v>
      </c>
    </row>
    <row r="7" spans="2:16" x14ac:dyDescent="0.2">
      <c r="B7" s="562" t="s">
        <v>1137</v>
      </c>
      <c r="C7" s="562"/>
      <c r="D7" s="562"/>
      <c r="E7" s="562"/>
      <c r="F7" s="562"/>
      <c r="G7" s="562"/>
      <c r="H7" s="358">
        <v>0.04</v>
      </c>
      <c r="J7" s="562" t="s">
        <v>1137</v>
      </c>
      <c r="K7" s="562"/>
      <c r="L7" s="562"/>
      <c r="M7" s="562"/>
      <c r="N7" s="562"/>
      <c r="O7" s="562"/>
      <c r="P7" s="358">
        <v>0.04</v>
      </c>
    </row>
    <row r="8" spans="2:16" x14ac:dyDescent="0.2">
      <c r="B8" s="561"/>
      <c r="C8" s="561"/>
      <c r="D8" s="561"/>
      <c r="E8" s="561"/>
      <c r="F8" s="561"/>
      <c r="G8" s="561"/>
      <c r="H8" s="561"/>
      <c r="J8" s="561"/>
      <c r="K8" s="561"/>
      <c r="L8" s="561"/>
      <c r="M8" s="561"/>
      <c r="N8" s="561"/>
      <c r="O8" s="561"/>
      <c r="P8" s="561"/>
    </row>
    <row r="9" spans="2:16" x14ac:dyDescent="0.2">
      <c r="B9" s="568" t="s">
        <v>998</v>
      </c>
      <c r="C9" s="568"/>
      <c r="D9" s="568"/>
      <c r="E9" s="568"/>
      <c r="F9" s="568"/>
      <c r="G9" s="568"/>
      <c r="H9" s="568"/>
      <c r="J9" s="568" t="s">
        <v>998</v>
      </c>
      <c r="K9" s="568"/>
      <c r="L9" s="568"/>
      <c r="M9" s="568"/>
      <c r="N9" s="568"/>
      <c r="O9" s="568"/>
      <c r="P9" s="568"/>
    </row>
    <row r="10" spans="2:16" x14ac:dyDescent="0.2">
      <c r="B10" s="561"/>
      <c r="C10" s="561"/>
      <c r="D10" s="561"/>
      <c r="E10" s="561"/>
      <c r="F10" s="561"/>
      <c r="G10" s="561"/>
      <c r="H10" s="561"/>
      <c r="J10" s="561"/>
      <c r="K10" s="561"/>
      <c r="L10" s="561"/>
      <c r="M10" s="561"/>
      <c r="N10" s="561"/>
      <c r="O10" s="561"/>
      <c r="P10" s="561"/>
    </row>
    <row r="11" spans="2:16" ht="24.75" customHeight="1" x14ac:dyDescent="0.2">
      <c r="B11" s="564" t="s">
        <v>1161</v>
      </c>
      <c r="C11" s="565"/>
      <c r="D11" s="565"/>
      <c r="E11" s="565"/>
      <c r="F11" s="565"/>
      <c r="G11" s="565"/>
      <c r="H11" s="566"/>
      <c r="J11" s="564" t="s">
        <v>1138</v>
      </c>
      <c r="K11" s="565"/>
      <c r="L11" s="565"/>
      <c r="M11" s="565"/>
      <c r="N11" s="565"/>
      <c r="O11" s="565"/>
      <c r="P11" s="566"/>
    </row>
    <row r="12" spans="2:16" x14ac:dyDescent="0.2">
      <c r="B12" s="561"/>
      <c r="C12" s="561"/>
      <c r="D12" s="561"/>
      <c r="E12" s="561"/>
      <c r="F12" s="561"/>
      <c r="G12" s="561"/>
      <c r="H12" s="561"/>
      <c r="J12" s="561"/>
      <c r="K12" s="561"/>
      <c r="L12" s="561"/>
      <c r="M12" s="561"/>
      <c r="N12" s="561"/>
      <c r="O12" s="561"/>
      <c r="P12" s="561"/>
    </row>
    <row r="13" spans="2:16" ht="31.5" x14ac:dyDescent="0.2">
      <c r="B13" s="567" t="s">
        <v>1139</v>
      </c>
      <c r="C13" s="567"/>
      <c r="D13" s="567"/>
      <c r="E13" s="567"/>
      <c r="F13" s="567"/>
      <c r="G13" s="359" t="s">
        <v>1140</v>
      </c>
      <c r="H13" s="360" t="s">
        <v>1141</v>
      </c>
      <c r="J13" s="567" t="s">
        <v>1139</v>
      </c>
      <c r="K13" s="567"/>
      <c r="L13" s="567"/>
      <c r="M13" s="567"/>
      <c r="N13" s="567"/>
      <c r="O13" s="359" t="s">
        <v>1140</v>
      </c>
      <c r="P13" s="360" t="s">
        <v>1141</v>
      </c>
    </row>
    <row r="14" spans="2:16" x14ac:dyDescent="0.2">
      <c r="B14" s="561" t="s">
        <v>377</v>
      </c>
      <c r="C14" s="561"/>
      <c r="D14" s="561"/>
      <c r="E14" s="561"/>
      <c r="F14" s="561"/>
      <c r="G14" s="361" t="s">
        <v>1142</v>
      </c>
      <c r="H14" s="362">
        <v>4.4999999999999998E-2</v>
      </c>
      <c r="J14" s="561" t="s">
        <v>377</v>
      </c>
      <c r="K14" s="561"/>
      <c r="L14" s="561"/>
      <c r="M14" s="561"/>
      <c r="N14" s="561"/>
      <c r="O14" s="361" t="s">
        <v>1142</v>
      </c>
      <c r="P14" s="362">
        <v>1.4999999999999999E-2</v>
      </c>
    </row>
    <row r="15" spans="2:16" x14ac:dyDescent="0.2">
      <c r="B15" s="561" t="s">
        <v>1143</v>
      </c>
      <c r="C15" s="561"/>
      <c r="D15" s="561"/>
      <c r="E15" s="561"/>
      <c r="F15" s="561"/>
      <c r="G15" s="361" t="s">
        <v>1144</v>
      </c>
      <c r="H15" s="362">
        <v>8.5000000000000006E-3</v>
      </c>
      <c r="J15" s="561" t="s">
        <v>1143</v>
      </c>
      <c r="K15" s="561"/>
      <c r="L15" s="561"/>
      <c r="M15" s="561"/>
      <c r="N15" s="561"/>
      <c r="O15" s="361" t="s">
        <v>1144</v>
      </c>
      <c r="P15" s="362">
        <v>3.0000000000000001E-3</v>
      </c>
    </row>
    <row r="16" spans="2:16" x14ac:dyDescent="0.2">
      <c r="B16" s="561" t="s">
        <v>1145</v>
      </c>
      <c r="C16" s="561"/>
      <c r="D16" s="561"/>
      <c r="E16" s="561"/>
      <c r="F16" s="561"/>
      <c r="G16" s="361" t="s">
        <v>1146</v>
      </c>
      <c r="H16" s="362">
        <v>1.2699999999999999E-2</v>
      </c>
      <c r="J16" s="561" t="s">
        <v>1145</v>
      </c>
      <c r="K16" s="561"/>
      <c r="L16" s="561"/>
      <c r="M16" s="561"/>
      <c r="N16" s="561"/>
      <c r="O16" s="361" t="s">
        <v>1146</v>
      </c>
      <c r="P16" s="362">
        <v>5.5999999999999999E-3</v>
      </c>
    </row>
    <row r="17" spans="1:16" x14ac:dyDescent="0.2">
      <c r="B17" s="561" t="s">
        <v>378</v>
      </c>
      <c r="C17" s="561"/>
      <c r="D17" s="561"/>
      <c r="E17" s="561"/>
      <c r="F17" s="561"/>
      <c r="G17" s="361" t="s">
        <v>1147</v>
      </c>
      <c r="H17" s="362">
        <v>1.23E-2</v>
      </c>
      <c r="J17" s="561" t="s">
        <v>378</v>
      </c>
      <c r="K17" s="561"/>
      <c r="L17" s="561"/>
      <c r="M17" s="561"/>
      <c r="N17" s="561"/>
      <c r="O17" s="361" t="s">
        <v>1147</v>
      </c>
      <c r="P17" s="362">
        <v>8.5000000000000006E-3</v>
      </c>
    </row>
    <row r="18" spans="1:16" x14ac:dyDescent="0.2">
      <c r="B18" s="561" t="s">
        <v>379</v>
      </c>
      <c r="C18" s="561"/>
      <c r="D18" s="561"/>
      <c r="E18" s="561"/>
      <c r="F18" s="561"/>
      <c r="G18" s="361" t="s">
        <v>1148</v>
      </c>
      <c r="H18" s="362">
        <v>0.08</v>
      </c>
      <c r="J18" s="561" t="s">
        <v>379</v>
      </c>
      <c r="K18" s="561"/>
      <c r="L18" s="561"/>
      <c r="M18" s="561"/>
      <c r="N18" s="561"/>
      <c r="O18" s="361" t="s">
        <v>1148</v>
      </c>
      <c r="P18" s="362">
        <v>3.5000000000000003E-2</v>
      </c>
    </row>
    <row r="19" spans="1:16" x14ac:dyDescent="0.2">
      <c r="B19" s="561" t="s">
        <v>1149</v>
      </c>
      <c r="C19" s="561"/>
      <c r="D19" s="561"/>
      <c r="E19" s="561"/>
      <c r="F19" s="561"/>
      <c r="G19" s="361" t="s">
        <v>1150</v>
      </c>
      <c r="H19" s="362">
        <v>3.6499999999999998E-2</v>
      </c>
      <c r="J19" s="561" t="s">
        <v>1149</v>
      </c>
      <c r="K19" s="561"/>
      <c r="L19" s="561"/>
      <c r="M19" s="561"/>
      <c r="N19" s="561"/>
      <c r="O19" s="361" t="s">
        <v>1150</v>
      </c>
      <c r="P19" s="362">
        <v>3.6499999999999998E-2</v>
      </c>
    </row>
    <row r="20" spans="1:16" x14ac:dyDescent="0.2">
      <c r="B20" s="561" t="s">
        <v>1151</v>
      </c>
      <c r="C20" s="561"/>
      <c r="D20" s="561"/>
      <c r="E20" s="561"/>
      <c r="F20" s="561"/>
      <c r="G20" s="361" t="s">
        <v>380</v>
      </c>
      <c r="H20" s="362">
        <f>H6*H7</f>
        <v>1.4800000000000001E-2</v>
      </c>
      <c r="J20" s="561" t="s">
        <v>1151</v>
      </c>
      <c r="K20" s="561"/>
      <c r="L20" s="561"/>
      <c r="M20" s="561"/>
      <c r="N20" s="561"/>
      <c r="O20" s="361" t="s">
        <v>380</v>
      </c>
      <c r="P20" s="362">
        <f>P6*P7</f>
        <v>1.4800000000000001E-2</v>
      </c>
    </row>
    <row r="21" spans="1:16" ht="27" customHeight="1" x14ac:dyDescent="0.2">
      <c r="B21" s="563" t="s">
        <v>1152</v>
      </c>
      <c r="C21" s="563"/>
      <c r="D21" s="563"/>
      <c r="E21" s="563"/>
      <c r="F21" s="563"/>
      <c r="G21" s="361" t="s">
        <v>381</v>
      </c>
      <c r="H21" s="362">
        <v>4.4999999999999998E-2</v>
      </c>
      <c r="J21" s="563" t="s">
        <v>1152</v>
      </c>
      <c r="K21" s="563"/>
      <c r="L21" s="563"/>
      <c r="M21" s="563"/>
      <c r="N21" s="563"/>
      <c r="O21" s="361" t="s">
        <v>381</v>
      </c>
      <c r="P21" s="362">
        <v>4.4999999999999998E-2</v>
      </c>
    </row>
    <row r="22" spans="1:16" ht="15.75" x14ac:dyDescent="0.25">
      <c r="B22" s="561" t="s">
        <v>1153</v>
      </c>
      <c r="C22" s="561"/>
      <c r="D22" s="561"/>
      <c r="E22" s="561"/>
      <c r="F22" s="561"/>
      <c r="G22" s="361" t="s">
        <v>998</v>
      </c>
      <c r="H22" s="363">
        <f>(1+H14+H15+H16)*(1+H17)*(1+H18)/(1-H19-H20-H21)-1</f>
        <v>0.28987429545203036</v>
      </c>
      <c r="J22" s="561" t="s">
        <v>1153</v>
      </c>
      <c r="K22" s="561"/>
      <c r="L22" s="561"/>
      <c r="M22" s="561"/>
      <c r="N22" s="561"/>
      <c r="O22" s="361" t="s">
        <v>998</v>
      </c>
      <c r="P22" s="363">
        <f>(1+P14+P15+P16)*(1+P17)*(1+P18)/(1-P19-P20-P21)-1</f>
        <v>0.18228518424255813</v>
      </c>
    </row>
    <row r="23" spans="1:16" x14ac:dyDescent="0.2">
      <c r="B23" s="561"/>
      <c r="C23" s="561"/>
      <c r="D23" s="561"/>
      <c r="E23" s="561"/>
      <c r="F23" s="561"/>
      <c r="G23" s="561"/>
      <c r="H23" s="561"/>
      <c r="J23" s="561"/>
      <c r="K23" s="561"/>
      <c r="L23" s="561"/>
      <c r="M23" s="561"/>
      <c r="N23" s="561"/>
      <c r="O23" s="561"/>
      <c r="P23" s="561"/>
    </row>
    <row r="24" spans="1:16" x14ac:dyDescent="0.2">
      <c r="B24" s="562" t="s">
        <v>1154</v>
      </c>
      <c r="C24" s="562"/>
      <c r="D24" s="562"/>
      <c r="E24" s="562"/>
      <c r="F24" s="562"/>
      <c r="G24" s="562"/>
      <c r="H24" s="562"/>
      <c r="J24" s="562" t="s">
        <v>1154</v>
      </c>
      <c r="K24" s="562"/>
      <c r="L24" s="562"/>
      <c r="M24" s="562"/>
      <c r="N24" s="562"/>
      <c r="O24" s="562"/>
      <c r="P24" s="562"/>
    </row>
    <row r="25" spans="1:16" x14ac:dyDescent="0.2">
      <c r="B25" s="561" t="s">
        <v>1155</v>
      </c>
      <c r="C25" s="561"/>
      <c r="D25" s="561"/>
      <c r="E25" s="561"/>
      <c r="F25" s="561"/>
      <c r="G25" s="561"/>
      <c r="H25" s="561"/>
      <c r="J25" s="561" t="s">
        <v>1155</v>
      </c>
      <c r="K25" s="561"/>
      <c r="L25" s="561"/>
      <c r="M25" s="561"/>
      <c r="N25" s="561"/>
      <c r="O25" s="561"/>
      <c r="P25" s="561"/>
    </row>
    <row r="26" spans="1:16" x14ac:dyDescent="0.2">
      <c r="B26" s="555"/>
      <c r="C26" s="556"/>
      <c r="D26" s="556"/>
      <c r="E26" s="556"/>
      <c r="F26" s="556"/>
      <c r="G26" s="556"/>
      <c r="H26" s="557"/>
      <c r="J26" s="555"/>
      <c r="K26" s="556"/>
      <c r="L26" s="556"/>
      <c r="M26" s="556"/>
      <c r="N26" s="556"/>
      <c r="O26" s="556"/>
      <c r="P26" s="557"/>
    </row>
    <row r="27" spans="1:16" x14ac:dyDescent="0.2">
      <c r="A27" s="370"/>
      <c r="B27" s="558"/>
      <c r="C27" s="559"/>
      <c r="D27" s="559"/>
      <c r="E27" s="559"/>
      <c r="F27" s="559"/>
      <c r="G27" s="559"/>
      <c r="H27" s="560"/>
      <c r="J27" s="558"/>
      <c r="K27" s="559"/>
      <c r="L27" s="559"/>
      <c r="M27" s="559"/>
      <c r="N27" s="559"/>
      <c r="O27" s="559"/>
      <c r="P27" s="560"/>
    </row>
    <row r="28" spans="1:16" x14ac:dyDescent="0.2">
      <c r="B28" s="364" t="s">
        <v>1156</v>
      </c>
      <c r="H28" s="366" t="str">
        <f>'ORÇ - COMPLETO LOTE 01'!K9</f>
        <v>06/2024</v>
      </c>
      <c r="J28" s="364" t="s">
        <v>1156</v>
      </c>
      <c r="P28" s="365" t="str">
        <f>H28</f>
        <v>06/2024</v>
      </c>
    </row>
    <row r="29" spans="1:16" x14ac:dyDescent="0.2">
      <c r="B29" s="549" t="s">
        <v>1157</v>
      </c>
      <c r="C29" s="550"/>
      <c r="D29" s="550"/>
      <c r="E29" s="550"/>
      <c r="F29" s="550"/>
      <c r="G29" s="550"/>
      <c r="H29" s="551"/>
      <c r="J29" s="549" t="s">
        <v>1157</v>
      </c>
      <c r="K29" s="550"/>
      <c r="L29" s="550"/>
      <c r="M29" s="550"/>
      <c r="N29" s="550"/>
      <c r="O29" s="550"/>
      <c r="P29" s="551"/>
    </row>
    <row r="30" spans="1:16" x14ac:dyDescent="0.2">
      <c r="B30" s="549"/>
      <c r="C30" s="550"/>
      <c r="D30" s="550"/>
      <c r="E30" s="550"/>
      <c r="F30" s="550"/>
      <c r="G30" s="550"/>
      <c r="H30" s="551"/>
      <c r="J30" s="549"/>
      <c r="K30" s="550"/>
      <c r="L30" s="550"/>
      <c r="M30" s="550"/>
      <c r="N30" s="550"/>
      <c r="O30" s="550"/>
      <c r="P30" s="551"/>
    </row>
    <row r="31" spans="1:16" x14ac:dyDescent="0.2">
      <c r="B31" s="549"/>
      <c r="C31" s="550"/>
      <c r="D31" s="550"/>
      <c r="E31" s="550"/>
      <c r="F31" s="550"/>
      <c r="G31" s="550"/>
      <c r="H31" s="551"/>
      <c r="J31" s="549"/>
      <c r="K31" s="550"/>
      <c r="L31" s="550"/>
      <c r="M31" s="550"/>
      <c r="N31" s="550"/>
      <c r="O31" s="550"/>
      <c r="P31" s="551"/>
    </row>
    <row r="32" spans="1:16" x14ac:dyDescent="0.2">
      <c r="B32" s="549"/>
      <c r="C32" s="550"/>
      <c r="D32" s="550"/>
      <c r="E32" s="550"/>
      <c r="F32" s="550"/>
      <c r="G32" s="550"/>
      <c r="H32" s="551"/>
      <c r="J32" s="549" t="s">
        <v>1158</v>
      </c>
      <c r="K32" s="550"/>
      <c r="L32" s="550"/>
      <c r="M32" s="550"/>
      <c r="N32" s="550"/>
      <c r="O32" s="550"/>
      <c r="P32" s="551"/>
    </row>
    <row r="33" spans="2:16" x14ac:dyDescent="0.2">
      <c r="B33" s="549" t="s">
        <v>1159</v>
      </c>
      <c r="C33" s="550"/>
      <c r="D33" s="550"/>
      <c r="E33" s="550"/>
      <c r="F33" s="550"/>
      <c r="G33" s="550"/>
      <c r="H33" s="551"/>
      <c r="J33" s="549" t="s">
        <v>1159</v>
      </c>
      <c r="K33" s="550"/>
      <c r="L33" s="550"/>
      <c r="M33" s="550"/>
      <c r="N33" s="550"/>
      <c r="O33" s="550"/>
      <c r="P33" s="551"/>
    </row>
    <row r="34" spans="2:16" x14ac:dyDescent="0.2">
      <c r="B34" s="552" t="s">
        <v>1160</v>
      </c>
      <c r="C34" s="553"/>
      <c r="D34" s="553"/>
      <c r="E34" s="553"/>
      <c r="F34" s="553"/>
      <c r="G34" s="553"/>
      <c r="H34" s="554"/>
      <c r="J34" s="552" t="s">
        <v>1160</v>
      </c>
      <c r="K34" s="553"/>
      <c r="L34" s="553"/>
      <c r="M34" s="553"/>
      <c r="N34" s="553"/>
      <c r="O34" s="553"/>
      <c r="P34" s="554"/>
    </row>
  </sheetData>
  <mergeCells count="58">
    <mergeCell ref="B2:H2"/>
    <mergeCell ref="J2:P2"/>
    <mergeCell ref="B3:H3"/>
    <mergeCell ref="J3:P3"/>
    <mergeCell ref="B4:H4"/>
    <mergeCell ref="J4:P4"/>
    <mergeCell ref="B5:H5"/>
    <mergeCell ref="J5:P5"/>
    <mergeCell ref="B6:G6"/>
    <mergeCell ref="J6:O6"/>
    <mergeCell ref="B7:G7"/>
    <mergeCell ref="J7:O7"/>
    <mergeCell ref="B8:H8"/>
    <mergeCell ref="J8:P8"/>
    <mergeCell ref="B9:H9"/>
    <mergeCell ref="J9:P9"/>
    <mergeCell ref="B10:H10"/>
    <mergeCell ref="J10:P10"/>
    <mergeCell ref="B11:H11"/>
    <mergeCell ref="J11:P11"/>
    <mergeCell ref="B12:H12"/>
    <mergeCell ref="J12:P12"/>
    <mergeCell ref="B13:F13"/>
    <mergeCell ref="J13:N13"/>
    <mergeCell ref="B14:F14"/>
    <mergeCell ref="J14:N14"/>
    <mergeCell ref="B15:F15"/>
    <mergeCell ref="J15:N15"/>
    <mergeCell ref="B16:F16"/>
    <mergeCell ref="J16:N16"/>
    <mergeCell ref="B17:F17"/>
    <mergeCell ref="J17:N17"/>
    <mergeCell ref="B18:F18"/>
    <mergeCell ref="J18:N18"/>
    <mergeCell ref="B19:F19"/>
    <mergeCell ref="J19:N19"/>
    <mergeCell ref="B20:F20"/>
    <mergeCell ref="J20:N20"/>
    <mergeCell ref="B21:F21"/>
    <mergeCell ref="J21:N21"/>
    <mergeCell ref="B22:F22"/>
    <mergeCell ref="J22:N22"/>
    <mergeCell ref="B23:H23"/>
    <mergeCell ref="J23:P23"/>
    <mergeCell ref="B24:H24"/>
    <mergeCell ref="J24:P24"/>
    <mergeCell ref="B25:H25"/>
    <mergeCell ref="J25:P25"/>
    <mergeCell ref="B33:H33"/>
    <mergeCell ref="J33:P33"/>
    <mergeCell ref="B34:H34"/>
    <mergeCell ref="J34:P34"/>
    <mergeCell ref="B26:H27"/>
    <mergeCell ref="J26:P27"/>
    <mergeCell ref="B29:H31"/>
    <mergeCell ref="J29:P31"/>
    <mergeCell ref="B32:H32"/>
    <mergeCell ref="J32:P32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6</vt:i4>
      </vt:variant>
    </vt:vector>
  </HeadingPairs>
  <TitlesOfParts>
    <vt:vector size="11" baseType="lpstr">
      <vt:lpstr>ORÇ - COMPLETO LOTE 01</vt:lpstr>
      <vt:lpstr>COMP - CIVIL</vt:lpstr>
      <vt:lpstr>COMP - ELÉTRICO</vt:lpstr>
      <vt:lpstr>CRONOGRAMA</vt:lpstr>
      <vt:lpstr>BDI</vt:lpstr>
      <vt:lpstr>BDI!Area_de_impressao</vt:lpstr>
      <vt:lpstr>'COMP - CIVIL'!Area_de_impressao</vt:lpstr>
      <vt:lpstr>'COMP - ELÉTRICO'!Area_de_impressao</vt:lpstr>
      <vt:lpstr>CRONOGRAMA!Area_de_impressao</vt:lpstr>
      <vt:lpstr>'ORÇ - COMPLETO LOTE 01'!Area_de_impressao</vt:lpstr>
      <vt:lpstr>'ORÇ - COMPLETO LOTE 01'!Titulos_de_impressao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diegostuani@hotmail.com</dc:creator>
  <cp:lastModifiedBy>Engenharia</cp:lastModifiedBy>
  <cp:lastPrinted>2024-08-20T10:58:59Z</cp:lastPrinted>
  <dcterms:created xsi:type="dcterms:W3CDTF">2020-10-31T22:47:05Z</dcterms:created>
  <dcterms:modified xsi:type="dcterms:W3CDTF">2024-08-22T13:32:16Z</dcterms:modified>
</cp:coreProperties>
</file>